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330"/>
  <workbookPr showInkAnnotation="0" autoCompressPictures="0"/>
  <bookViews>
    <workbookView xWindow="0" yWindow="0" windowWidth="25600" windowHeight="16060" tabRatio="253"/>
  </bookViews>
  <sheets>
    <sheet name="Fe Sheet" sheetId="1" r:id="rId1"/>
    <sheet name="O Sheet" sheetId="2" r:id="rId2"/>
    <sheet name="Z Sheet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9" i="3" l="1"/>
  <c r="B10" i="3"/>
  <c r="B11" i="3"/>
  <c r="B12" i="3"/>
  <c r="B13" i="3"/>
  <c r="B14" i="3"/>
  <c r="B8" i="3"/>
  <c r="B7" i="3"/>
  <c r="B8" i="2"/>
  <c r="B9" i="2"/>
  <c r="B10" i="2"/>
  <c r="B11" i="2"/>
  <c r="B12" i="2"/>
  <c r="B13" i="2"/>
  <c r="B14" i="2"/>
  <c r="B7" i="2"/>
  <c r="B8" i="1"/>
  <c r="B9" i="1"/>
  <c r="B10" i="1"/>
  <c r="B11" i="1"/>
  <c r="B7" i="1"/>
  <c r="I30" i="2"/>
  <c r="C2" i="2"/>
  <c r="C3" i="2"/>
  <c r="H48" i="2"/>
  <c r="M16" i="2"/>
  <c r="M17" i="2"/>
  <c r="M19" i="2"/>
  <c r="M18" i="2"/>
  <c r="D7" i="2"/>
  <c r="B15" i="1"/>
  <c r="D79" i="1"/>
  <c r="M16" i="1"/>
  <c r="M17" i="1"/>
  <c r="M19" i="1"/>
  <c r="M29" i="1"/>
  <c r="E79" i="1"/>
  <c r="D84" i="1"/>
  <c r="E84" i="1"/>
  <c r="D85" i="1"/>
  <c r="E85" i="1"/>
  <c r="D86" i="1"/>
  <c r="E86" i="1"/>
  <c r="D88" i="1"/>
  <c r="E88" i="1"/>
  <c r="D102" i="1"/>
  <c r="E102" i="1"/>
  <c r="D93" i="1"/>
  <c r="E93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5" i="1"/>
  <c r="D70" i="1"/>
  <c r="D71" i="1"/>
  <c r="B58" i="1"/>
  <c r="J30" i="1"/>
  <c r="J48" i="1"/>
  <c r="I48" i="3"/>
  <c r="H30" i="2"/>
  <c r="D69" i="2"/>
  <c r="E25" i="2"/>
  <c r="D75" i="2"/>
  <c r="E75" i="2"/>
  <c r="E23" i="2"/>
  <c r="D73" i="2"/>
  <c r="E73" i="2"/>
  <c r="D68" i="2"/>
  <c r="D74" i="2"/>
  <c r="E74" i="2"/>
  <c r="E26" i="2"/>
  <c r="D76" i="2"/>
  <c r="E76" i="2"/>
  <c r="E27" i="2"/>
  <c r="D77" i="2"/>
  <c r="E77" i="2"/>
  <c r="E30" i="2"/>
  <c r="D80" i="2"/>
  <c r="D78" i="2"/>
  <c r="E78" i="2"/>
  <c r="D79" i="2"/>
  <c r="E79" i="2"/>
  <c r="E80" i="2"/>
  <c r="H31" i="2"/>
  <c r="E31" i="2"/>
  <c r="D81" i="2"/>
  <c r="E81" i="2"/>
  <c r="H32" i="2"/>
  <c r="E32" i="2"/>
  <c r="D82" i="2"/>
  <c r="E82" i="2"/>
  <c r="H33" i="2"/>
  <c r="E33" i="2"/>
  <c r="D83" i="2"/>
  <c r="E83" i="2"/>
  <c r="I34" i="1"/>
  <c r="H34" i="2"/>
  <c r="E34" i="2"/>
  <c r="D84" i="2"/>
  <c r="E84" i="2"/>
  <c r="I35" i="1"/>
  <c r="H35" i="2"/>
  <c r="E35" i="2"/>
  <c r="D85" i="2"/>
  <c r="E85" i="2"/>
  <c r="I36" i="1"/>
  <c r="H36" i="2"/>
  <c r="E36" i="2"/>
  <c r="D86" i="2"/>
  <c r="E86" i="2"/>
  <c r="H37" i="2"/>
  <c r="E37" i="2"/>
  <c r="D87" i="2"/>
  <c r="E87" i="2"/>
  <c r="I38" i="1"/>
  <c r="H38" i="2"/>
  <c r="E38" i="2"/>
  <c r="D88" i="2"/>
  <c r="E88" i="2"/>
  <c r="H39" i="2"/>
  <c r="E39" i="2"/>
  <c r="D89" i="2"/>
  <c r="E89" i="2"/>
  <c r="H40" i="2"/>
  <c r="E40" i="2"/>
  <c r="D90" i="2"/>
  <c r="E90" i="2"/>
  <c r="H41" i="2"/>
  <c r="E41" i="2"/>
  <c r="D91" i="2"/>
  <c r="E91" i="2"/>
  <c r="H42" i="2"/>
  <c r="E42" i="2"/>
  <c r="D92" i="2"/>
  <c r="E92" i="2"/>
  <c r="I43" i="1"/>
  <c r="H43" i="2"/>
  <c r="E43" i="2"/>
  <c r="D93" i="2"/>
  <c r="E93" i="2"/>
  <c r="H44" i="2"/>
  <c r="E44" i="2"/>
  <c r="D94" i="2"/>
  <c r="E94" i="2"/>
  <c r="H45" i="2"/>
  <c r="E45" i="2"/>
  <c r="D95" i="2"/>
  <c r="E95" i="2"/>
  <c r="H46" i="2"/>
  <c r="E46" i="2"/>
  <c r="D96" i="2"/>
  <c r="E96" i="2"/>
  <c r="H47" i="2"/>
  <c r="E47" i="2"/>
  <c r="D97" i="2"/>
  <c r="E97" i="2"/>
  <c r="E48" i="2"/>
  <c r="D98" i="2"/>
  <c r="E98" i="2"/>
  <c r="H49" i="2"/>
  <c r="E49" i="2"/>
  <c r="D99" i="2"/>
  <c r="E99" i="2"/>
  <c r="H50" i="2"/>
  <c r="E50" i="2"/>
  <c r="D100" i="2"/>
  <c r="E100" i="2"/>
  <c r="H51" i="2"/>
  <c r="E51" i="2"/>
  <c r="D101" i="2"/>
  <c r="E101" i="2"/>
  <c r="I52" i="1"/>
  <c r="H52" i="2"/>
  <c r="E52" i="2"/>
  <c r="D102" i="2"/>
  <c r="E102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5" i="2"/>
  <c r="F25" i="2"/>
  <c r="F23" i="2"/>
  <c r="E24" i="2"/>
  <c r="F24" i="2"/>
  <c r="F26" i="2"/>
  <c r="F27" i="2"/>
  <c r="E28" i="2"/>
  <c r="F28" i="2"/>
  <c r="E29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19" i="2"/>
  <c r="D70" i="2"/>
  <c r="D71" i="2"/>
  <c r="B58" i="2"/>
  <c r="K31" i="3"/>
  <c r="H30" i="3"/>
  <c r="H48" i="3"/>
  <c r="J53" i="3"/>
  <c r="C2" i="3"/>
  <c r="C3" i="3"/>
  <c r="AH16" i="3"/>
  <c r="AH17" i="3"/>
  <c r="AH19" i="3"/>
  <c r="E29" i="3"/>
  <c r="AH29" i="3"/>
  <c r="AE16" i="3"/>
  <c r="AE17" i="3"/>
  <c r="AE19" i="3"/>
  <c r="AE29" i="3"/>
  <c r="AB16" i="3"/>
  <c r="AB17" i="3"/>
  <c r="AB19" i="3"/>
  <c r="AB29" i="3"/>
  <c r="Y16" i="3"/>
  <c r="Y17" i="3"/>
  <c r="Y19" i="3"/>
  <c r="Y29" i="3"/>
  <c r="V16" i="3"/>
  <c r="V17" i="3"/>
  <c r="V19" i="3"/>
  <c r="V29" i="3"/>
  <c r="S16" i="3"/>
  <c r="S17" i="3"/>
  <c r="S19" i="3"/>
  <c r="S29" i="3"/>
  <c r="P16" i="3"/>
  <c r="P17" i="3"/>
  <c r="P19" i="3"/>
  <c r="P29" i="3"/>
  <c r="M16" i="3"/>
  <c r="M17" i="3"/>
  <c r="M19" i="3"/>
  <c r="M29" i="3"/>
  <c r="AH16" i="2"/>
  <c r="AH17" i="2"/>
  <c r="AH29" i="2"/>
  <c r="AE16" i="2"/>
  <c r="AE17" i="2"/>
  <c r="AE29" i="2"/>
  <c r="AB16" i="2"/>
  <c r="AB17" i="2"/>
  <c r="AB29" i="2"/>
  <c r="Y16" i="2"/>
  <c r="Y17" i="2"/>
  <c r="Y29" i="2"/>
  <c r="V16" i="2"/>
  <c r="V17" i="2"/>
  <c r="V29" i="2"/>
  <c r="S16" i="2"/>
  <c r="S17" i="2"/>
  <c r="S29" i="2"/>
  <c r="P16" i="2"/>
  <c r="P17" i="2"/>
  <c r="P29" i="2"/>
  <c r="M29" i="2"/>
  <c r="Y16" i="1"/>
  <c r="Y17" i="1"/>
  <c r="Y19" i="1"/>
  <c r="Y29" i="1"/>
  <c r="V16" i="1"/>
  <c r="V17" i="1"/>
  <c r="V19" i="1"/>
  <c r="V29" i="1"/>
  <c r="S16" i="1"/>
  <c r="S17" i="1"/>
  <c r="S19" i="1"/>
  <c r="S29" i="1"/>
  <c r="P16" i="1"/>
  <c r="P17" i="1"/>
  <c r="P19" i="1"/>
  <c r="P29" i="1"/>
  <c r="M18" i="1"/>
  <c r="M32" i="1"/>
  <c r="M24" i="1"/>
  <c r="F29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19" i="1"/>
  <c r="N29" i="3"/>
  <c r="M18" i="3"/>
  <c r="E24" i="3"/>
  <c r="I18" i="3"/>
  <c r="M24" i="3"/>
  <c r="N24" i="3"/>
  <c r="J28" i="1"/>
  <c r="I28" i="3"/>
  <c r="H28" i="3"/>
  <c r="E28" i="3"/>
  <c r="M28" i="3"/>
  <c r="N28" i="3"/>
  <c r="E30" i="3"/>
  <c r="M30" i="3"/>
  <c r="N30" i="3"/>
  <c r="J31" i="1"/>
  <c r="I31" i="3"/>
  <c r="H31" i="3"/>
  <c r="E31" i="3"/>
  <c r="M31" i="3"/>
  <c r="N31" i="3"/>
  <c r="J32" i="1"/>
  <c r="I32" i="3"/>
  <c r="H32" i="3"/>
  <c r="E32" i="3"/>
  <c r="M32" i="3"/>
  <c r="N32" i="3"/>
  <c r="J33" i="1"/>
  <c r="I33" i="3"/>
  <c r="H33" i="3"/>
  <c r="E33" i="3"/>
  <c r="M33" i="3"/>
  <c r="N33" i="3"/>
  <c r="J34" i="1"/>
  <c r="I34" i="3"/>
  <c r="H34" i="3"/>
  <c r="E34" i="3"/>
  <c r="M34" i="3"/>
  <c r="N34" i="3"/>
  <c r="J35" i="1"/>
  <c r="I35" i="3"/>
  <c r="H35" i="3"/>
  <c r="E35" i="3"/>
  <c r="M35" i="3"/>
  <c r="N35" i="3"/>
  <c r="J36" i="1"/>
  <c r="I36" i="3"/>
  <c r="H36" i="3"/>
  <c r="E36" i="3"/>
  <c r="M36" i="3"/>
  <c r="N36" i="3"/>
  <c r="J37" i="1"/>
  <c r="I37" i="3"/>
  <c r="H37" i="3"/>
  <c r="E37" i="3"/>
  <c r="M37" i="3"/>
  <c r="N37" i="3"/>
  <c r="J38" i="1"/>
  <c r="I38" i="3"/>
  <c r="H38" i="3"/>
  <c r="E38" i="3"/>
  <c r="M38" i="3"/>
  <c r="N38" i="3"/>
  <c r="J39" i="1"/>
  <c r="I39" i="3"/>
  <c r="H39" i="3"/>
  <c r="E39" i="3"/>
  <c r="M39" i="3"/>
  <c r="N39" i="3"/>
  <c r="J40" i="1"/>
  <c r="I40" i="3"/>
  <c r="H40" i="3"/>
  <c r="E40" i="3"/>
  <c r="M40" i="3"/>
  <c r="N40" i="3"/>
  <c r="J41" i="1"/>
  <c r="I41" i="3"/>
  <c r="H41" i="3"/>
  <c r="E41" i="3"/>
  <c r="M41" i="3"/>
  <c r="N41" i="3"/>
  <c r="J42" i="1"/>
  <c r="I42" i="3"/>
  <c r="H42" i="3"/>
  <c r="E42" i="3"/>
  <c r="M42" i="3"/>
  <c r="N42" i="3"/>
  <c r="J43" i="1"/>
  <c r="I43" i="3"/>
  <c r="H43" i="3"/>
  <c r="E43" i="3"/>
  <c r="M43" i="3"/>
  <c r="N43" i="3"/>
  <c r="J44" i="1"/>
  <c r="I44" i="3"/>
  <c r="H44" i="3"/>
  <c r="E44" i="3"/>
  <c r="M44" i="3"/>
  <c r="N44" i="3"/>
  <c r="J45" i="1"/>
  <c r="I45" i="3"/>
  <c r="H45" i="3"/>
  <c r="E45" i="3"/>
  <c r="M45" i="3"/>
  <c r="N45" i="3"/>
  <c r="J46" i="1"/>
  <c r="I46" i="3"/>
  <c r="H46" i="3"/>
  <c r="E46" i="3"/>
  <c r="M46" i="3"/>
  <c r="N46" i="3"/>
  <c r="J47" i="1"/>
  <c r="I47" i="3"/>
  <c r="H47" i="3"/>
  <c r="E47" i="3"/>
  <c r="M47" i="3"/>
  <c r="N47" i="3"/>
  <c r="E48" i="3"/>
  <c r="M48" i="3"/>
  <c r="N48" i="3"/>
  <c r="J49" i="1"/>
  <c r="I49" i="3"/>
  <c r="H49" i="3"/>
  <c r="E49" i="3"/>
  <c r="M49" i="3"/>
  <c r="N49" i="3"/>
  <c r="J50" i="1"/>
  <c r="I50" i="3"/>
  <c r="H50" i="3"/>
  <c r="E50" i="3"/>
  <c r="M50" i="3"/>
  <c r="N50" i="3"/>
  <c r="J51" i="1"/>
  <c r="I51" i="3"/>
  <c r="H51" i="3"/>
  <c r="E51" i="3"/>
  <c r="M51" i="3"/>
  <c r="N51" i="3"/>
  <c r="J52" i="1"/>
  <c r="I52" i="3"/>
  <c r="H52" i="3"/>
  <c r="E52" i="3"/>
  <c r="M52" i="3"/>
  <c r="N52" i="3"/>
  <c r="E23" i="3"/>
  <c r="M23" i="3"/>
  <c r="N23" i="3"/>
  <c r="E25" i="3"/>
  <c r="M25" i="3"/>
  <c r="N25" i="3"/>
  <c r="E26" i="3"/>
  <c r="M26" i="3"/>
  <c r="N26" i="3"/>
  <c r="E27" i="3"/>
  <c r="M27" i="3"/>
  <c r="N27" i="3"/>
  <c r="O29" i="3"/>
  <c r="F7" i="3"/>
  <c r="J29" i="1"/>
  <c r="H29" i="3"/>
  <c r="J29" i="2"/>
  <c r="H29" i="2"/>
  <c r="I29" i="2"/>
  <c r="I29" i="1"/>
  <c r="I29" i="3"/>
  <c r="I30" i="3"/>
  <c r="I27" i="3"/>
  <c r="I26" i="3"/>
  <c r="I25" i="3"/>
  <c r="I24" i="3"/>
  <c r="I2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H24" i="2"/>
  <c r="H25" i="2"/>
  <c r="H26" i="2"/>
  <c r="H27" i="2"/>
  <c r="H28" i="2"/>
  <c r="H23" i="2"/>
  <c r="I28" i="1"/>
  <c r="I24" i="2"/>
  <c r="I25" i="2"/>
  <c r="I26" i="2"/>
  <c r="I27" i="2"/>
  <c r="I28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23" i="2"/>
  <c r="H53" i="1"/>
  <c r="I53" i="1"/>
  <c r="I32" i="1"/>
  <c r="I33" i="1"/>
  <c r="I37" i="1"/>
  <c r="I39" i="1"/>
  <c r="I40" i="1"/>
  <c r="I41" i="1"/>
  <c r="I42" i="1"/>
  <c r="I44" i="1"/>
  <c r="I45" i="1"/>
  <c r="I46" i="1"/>
  <c r="I47" i="1"/>
  <c r="I48" i="1"/>
  <c r="I49" i="1"/>
  <c r="I50" i="1"/>
  <c r="I51" i="1"/>
  <c r="I31" i="1"/>
  <c r="D75" i="1"/>
  <c r="E75" i="1"/>
  <c r="D73" i="1"/>
  <c r="E73" i="1"/>
  <c r="D76" i="1"/>
  <c r="E76" i="1"/>
  <c r="D77" i="1"/>
  <c r="E77" i="1"/>
  <c r="D80" i="1"/>
  <c r="D78" i="1"/>
  <c r="E78" i="1"/>
  <c r="E80" i="1"/>
  <c r="D81" i="1"/>
  <c r="E81" i="1"/>
  <c r="D82" i="1"/>
  <c r="E82" i="1"/>
  <c r="D83" i="1"/>
  <c r="E83" i="1"/>
  <c r="D87" i="1"/>
  <c r="E87" i="1"/>
  <c r="D89" i="1"/>
  <c r="E89" i="1"/>
  <c r="D90" i="1"/>
  <c r="E90" i="1"/>
  <c r="D91" i="1"/>
  <c r="E91" i="1"/>
  <c r="D92" i="1"/>
  <c r="E92" i="1"/>
  <c r="D94" i="1"/>
  <c r="E94" i="1"/>
  <c r="D95" i="1"/>
  <c r="E95" i="1"/>
  <c r="D96" i="1"/>
  <c r="E96" i="1"/>
  <c r="D97" i="1"/>
  <c r="E97" i="1"/>
  <c r="D98" i="1"/>
  <c r="E98" i="1"/>
  <c r="D99" i="1"/>
  <c r="E99" i="1"/>
  <c r="D100" i="1"/>
  <c r="E100" i="1"/>
  <c r="D101" i="1"/>
  <c r="E101" i="1"/>
  <c r="F25" i="1"/>
  <c r="F23" i="1"/>
  <c r="F24" i="1"/>
  <c r="F26" i="1"/>
  <c r="F27" i="1"/>
  <c r="F28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A1" i="3"/>
  <c r="A1" i="2"/>
  <c r="AH18" i="3"/>
  <c r="AH24" i="3"/>
  <c r="AI24" i="3"/>
  <c r="AH28" i="3"/>
  <c r="AI28" i="3"/>
  <c r="AH30" i="3"/>
  <c r="AI29" i="3"/>
  <c r="AI30" i="3"/>
  <c r="AH31" i="3"/>
  <c r="AI31" i="3"/>
  <c r="AH32" i="3"/>
  <c r="AI32" i="3"/>
  <c r="AH33" i="3"/>
  <c r="AI33" i="3"/>
  <c r="AH34" i="3"/>
  <c r="AI34" i="3"/>
  <c r="AH35" i="3"/>
  <c r="AI35" i="3"/>
  <c r="AH36" i="3"/>
  <c r="AI36" i="3"/>
  <c r="AH37" i="3"/>
  <c r="AI37" i="3"/>
  <c r="AH38" i="3"/>
  <c r="AI38" i="3"/>
  <c r="AH39" i="3"/>
  <c r="AI39" i="3"/>
  <c r="AH40" i="3"/>
  <c r="AI40" i="3"/>
  <c r="AH41" i="3"/>
  <c r="AI41" i="3"/>
  <c r="AH42" i="3"/>
  <c r="AI42" i="3"/>
  <c r="AH43" i="3"/>
  <c r="AI43" i="3"/>
  <c r="AH44" i="3"/>
  <c r="AI44" i="3"/>
  <c r="AH45" i="3"/>
  <c r="AI45" i="3"/>
  <c r="AH46" i="3"/>
  <c r="AI46" i="3"/>
  <c r="AH47" i="3"/>
  <c r="AI47" i="3"/>
  <c r="AH48" i="3"/>
  <c r="AI48" i="3"/>
  <c r="AH49" i="3"/>
  <c r="AI49" i="3"/>
  <c r="AH50" i="3"/>
  <c r="AI50" i="3"/>
  <c r="AH51" i="3"/>
  <c r="AI51" i="3"/>
  <c r="AH52" i="3"/>
  <c r="AI52" i="3"/>
  <c r="AH23" i="3"/>
  <c r="AI23" i="3"/>
  <c r="AH25" i="3"/>
  <c r="AI25" i="3"/>
  <c r="AH26" i="3"/>
  <c r="AI26" i="3"/>
  <c r="AH27" i="3"/>
  <c r="AI27" i="3"/>
  <c r="AJ24" i="3"/>
  <c r="AJ54" i="3"/>
  <c r="K14" i="3"/>
  <c r="AE18" i="3"/>
  <c r="AE24" i="3"/>
  <c r="AF24" i="3"/>
  <c r="AE28" i="3"/>
  <c r="AF28" i="3"/>
  <c r="AE30" i="3"/>
  <c r="AF29" i="3"/>
  <c r="AF30" i="3"/>
  <c r="AE31" i="3"/>
  <c r="AF31" i="3"/>
  <c r="AE32" i="3"/>
  <c r="AF32" i="3"/>
  <c r="AE33" i="3"/>
  <c r="AF33" i="3"/>
  <c r="AE34" i="3"/>
  <c r="AF34" i="3"/>
  <c r="AE35" i="3"/>
  <c r="AF35" i="3"/>
  <c r="AE36" i="3"/>
  <c r="AF36" i="3"/>
  <c r="AE37" i="3"/>
  <c r="AF37" i="3"/>
  <c r="AE38" i="3"/>
  <c r="AF38" i="3"/>
  <c r="AE39" i="3"/>
  <c r="AF39" i="3"/>
  <c r="AE40" i="3"/>
  <c r="AF40" i="3"/>
  <c r="AE41" i="3"/>
  <c r="AF41" i="3"/>
  <c r="AE42" i="3"/>
  <c r="AF42" i="3"/>
  <c r="AE43" i="3"/>
  <c r="AF43" i="3"/>
  <c r="AE44" i="3"/>
  <c r="AF44" i="3"/>
  <c r="AE45" i="3"/>
  <c r="AF45" i="3"/>
  <c r="AE46" i="3"/>
  <c r="AF46" i="3"/>
  <c r="AE47" i="3"/>
  <c r="AF47" i="3"/>
  <c r="AE48" i="3"/>
  <c r="AF48" i="3"/>
  <c r="AE49" i="3"/>
  <c r="AF49" i="3"/>
  <c r="AE50" i="3"/>
  <c r="AF50" i="3"/>
  <c r="AE51" i="3"/>
  <c r="AF51" i="3"/>
  <c r="AE52" i="3"/>
  <c r="AF52" i="3"/>
  <c r="AE23" i="3"/>
  <c r="AF23" i="3"/>
  <c r="AE25" i="3"/>
  <c r="AF25" i="3"/>
  <c r="AE26" i="3"/>
  <c r="AF26" i="3"/>
  <c r="AE27" i="3"/>
  <c r="AF27" i="3"/>
  <c r="AG24" i="3"/>
  <c r="AG54" i="3"/>
  <c r="K13" i="3"/>
  <c r="AB18" i="3"/>
  <c r="AB24" i="3"/>
  <c r="AC24" i="3"/>
  <c r="AB28" i="3"/>
  <c r="AC28" i="3"/>
  <c r="AB30" i="3"/>
  <c r="AC29" i="3"/>
  <c r="AC30" i="3"/>
  <c r="AB31" i="3"/>
  <c r="AC31" i="3"/>
  <c r="AB32" i="3"/>
  <c r="AC32" i="3"/>
  <c r="AB33" i="3"/>
  <c r="AC33" i="3"/>
  <c r="AB34" i="3"/>
  <c r="AC34" i="3"/>
  <c r="AB35" i="3"/>
  <c r="AC35" i="3"/>
  <c r="AB36" i="3"/>
  <c r="AC36" i="3"/>
  <c r="AB37" i="3"/>
  <c r="AC37" i="3"/>
  <c r="AB38" i="3"/>
  <c r="AC38" i="3"/>
  <c r="AB39" i="3"/>
  <c r="AC39" i="3"/>
  <c r="AB40" i="3"/>
  <c r="AC40" i="3"/>
  <c r="AB41" i="3"/>
  <c r="AC41" i="3"/>
  <c r="AB42" i="3"/>
  <c r="AC42" i="3"/>
  <c r="AB43" i="3"/>
  <c r="AC43" i="3"/>
  <c r="AB44" i="3"/>
  <c r="AC44" i="3"/>
  <c r="AB45" i="3"/>
  <c r="AC45" i="3"/>
  <c r="AB46" i="3"/>
  <c r="AC46" i="3"/>
  <c r="AB47" i="3"/>
  <c r="AC47" i="3"/>
  <c r="AB48" i="3"/>
  <c r="AC48" i="3"/>
  <c r="AB49" i="3"/>
  <c r="AC49" i="3"/>
  <c r="AB50" i="3"/>
  <c r="AC50" i="3"/>
  <c r="AB51" i="3"/>
  <c r="AC51" i="3"/>
  <c r="AB52" i="3"/>
  <c r="AC52" i="3"/>
  <c r="AB23" i="3"/>
  <c r="AC23" i="3"/>
  <c r="AB25" i="3"/>
  <c r="AC25" i="3"/>
  <c r="AB26" i="3"/>
  <c r="AC26" i="3"/>
  <c r="AB27" i="3"/>
  <c r="AC27" i="3"/>
  <c r="AD24" i="3"/>
  <c r="AD54" i="3"/>
  <c r="K12" i="3"/>
  <c r="Y18" i="3"/>
  <c r="Y24" i="3"/>
  <c r="Z24" i="3"/>
  <c r="Y28" i="3"/>
  <c r="Z28" i="3"/>
  <c r="Y30" i="3"/>
  <c r="Z29" i="3"/>
  <c r="Z30" i="3"/>
  <c r="Y31" i="3"/>
  <c r="Z31" i="3"/>
  <c r="Y32" i="3"/>
  <c r="Z32" i="3"/>
  <c r="Y33" i="3"/>
  <c r="Z33" i="3"/>
  <c r="Y34" i="3"/>
  <c r="Z34" i="3"/>
  <c r="Y35" i="3"/>
  <c r="Z35" i="3"/>
  <c r="Y36" i="3"/>
  <c r="Z36" i="3"/>
  <c r="Y37" i="3"/>
  <c r="Z37" i="3"/>
  <c r="Y38" i="3"/>
  <c r="Z38" i="3"/>
  <c r="Y39" i="3"/>
  <c r="Z39" i="3"/>
  <c r="Y40" i="3"/>
  <c r="Z40" i="3"/>
  <c r="Y41" i="3"/>
  <c r="Z41" i="3"/>
  <c r="Y42" i="3"/>
  <c r="Z42" i="3"/>
  <c r="Y43" i="3"/>
  <c r="Z43" i="3"/>
  <c r="Y44" i="3"/>
  <c r="Z44" i="3"/>
  <c r="Y45" i="3"/>
  <c r="Z45" i="3"/>
  <c r="Y46" i="3"/>
  <c r="Z46" i="3"/>
  <c r="Y47" i="3"/>
  <c r="Z47" i="3"/>
  <c r="Y48" i="3"/>
  <c r="Z48" i="3"/>
  <c r="Y49" i="3"/>
  <c r="Z49" i="3"/>
  <c r="Y50" i="3"/>
  <c r="Z50" i="3"/>
  <c r="Y51" i="3"/>
  <c r="Z51" i="3"/>
  <c r="Y52" i="3"/>
  <c r="Z52" i="3"/>
  <c r="Y23" i="3"/>
  <c r="Z23" i="3"/>
  <c r="Y25" i="3"/>
  <c r="Z25" i="3"/>
  <c r="Y26" i="3"/>
  <c r="Z26" i="3"/>
  <c r="Y27" i="3"/>
  <c r="Z27" i="3"/>
  <c r="AA24" i="3"/>
  <c r="AA54" i="3"/>
  <c r="K11" i="3"/>
  <c r="V18" i="3"/>
  <c r="V24" i="3"/>
  <c r="W24" i="3"/>
  <c r="V28" i="3"/>
  <c r="W28" i="3"/>
  <c r="V30" i="3"/>
  <c r="W29" i="3"/>
  <c r="W30" i="3"/>
  <c r="V31" i="3"/>
  <c r="W31" i="3"/>
  <c r="V32" i="3"/>
  <c r="W32" i="3"/>
  <c r="V33" i="3"/>
  <c r="W33" i="3"/>
  <c r="V34" i="3"/>
  <c r="W34" i="3"/>
  <c r="V35" i="3"/>
  <c r="W35" i="3"/>
  <c r="V36" i="3"/>
  <c r="W36" i="3"/>
  <c r="V37" i="3"/>
  <c r="W37" i="3"/>
  <c r="V38" i="3"/>
  <c r="W38" i="3"/>
  <c r="V39" i="3"/>
  <c r="W39" i="3"/>
  <c r="V40" i="3"/>
  <c r="W40" i="3"/>
  <c r="V41" i="3"/>
  <c r="W41" i="3"/>
  <c r="V42" i="3"/>
  <c r="W42" i="3"/>
  <c r="V43" i="3"/>
  <c r="W43" i="3"/>
  <c r="V44" i="3"/>
  <c r="W44" i="3"/>
  <c r="V45" i="3"/>
  <c r="W45" i="3"/>
  <c r="V46" i="3"/>
  <c r="W46" i="3"/>
  <c r="V47" i="3"/>
  <c r="W47" i="3"/>
  <c r="V48" i="3"/>
  <c r="W48" i="3"/>
  <c r="V49" i="3"/>
  <c r="W49" i="3"/>
  <c r="V50" i="3"/>
  <c r="W50" i="3"/>
  <c r="V51" i="3"/>
  <c r="W51" i="3"/>
  <c r="V52" i="3"/>
  <c r="W52" i="3"/>
  <c r="V23" i="3"/>
  <c r="W23" i="3"/>
  <c r="V25" i="3"/>
  <c r="W25" i="3"/>
  <c r="V26" i="3"/>
  <c r="W26" i="3"/>
  <c r="V27" i="3"/>
  <c r="W27" i="3"/>
  <c r="X24" i="3"/>
  <c r="X54" i="3"/>
  <c r="K10" i="3"/>
  <c r="S18" i="3"/>
  <c r="S24" i="3"/>
  <c r="T24" i="3"/>
  <c r="S28" i="3"/>
  <c r="T28" i="3"/>
  <c r="S30" i="3"/>
  <c r="T29" i="3"/>
  <c r="T30" i="3"/>
  <c r="S31" i="3"/>
  <c r="T31" i="3"/>
  <c r="S32" i="3"/>
  <c r="T32" i="3"/>
  <c r="S33" i="3"/>
  <c r="T33" i="3"/>
  <c r="S34" i="3"/>
  <c r="T34" i="3"/>
  <c r="S35" i="3"/>
  <c r="T35" i="3"/>
  <c r="S36" i="3"/>
  <c r="T36" i="3"/>
  <c r="S37" i="3"/>
  <c r="T37" i="3"/>
  <c r="S38" i="3"/>
  <c r="T38" i="3"/>
  <c r="S39" i="3"/>
  <c r="T39" i="3"/>
  <c r="S40" i="3"/>
  <c r="T40" i="3"/>
  <c r="S41" i="3"/>
  <c r="T41" i="3"/>
  <c r="S42" i="3"/>
  <c r="T42" i="3"/>
  <c r="S43" i="3"/>
  <c r="T43" i="3"/>
  <c r="S44" i="3"/>
  <c r="T44" i="3"/>
  <c r="S45" i="3"/>
  <c r="T45" i="3"/>
  <c r="S46" i="3"/>
  <c r="T46" i="3"/>
  <c r="S47" i="3"/>
  <c r="T47" i="3"/>
  <c r="S48" i="3"/>
  <c r="T48" i="3"/>
  <c r="S49" i="3"/>
  <c r="T49" i="3"/>
  <c r="S50" i="3"/>
  <c r="T50" i="3"/>
  <c r="S51" i="3"/>
  <c r="T51" i="3"/>
  <c r="S52" i="3"/>
  <c r="T52" i="3"/>
  <c r="S23" i="3"/>
  <c r="T23" i="3"/>
  <c r="S25" i="3"/>
  <c r="T25" i="3"/>
  <c r="S26" i="3"/>
  <c r="T26" i="3"/>
  <c r="S27" i="3"/>
  <c r="T27" i="3"/>
  <c r="U24" i="3"/>
  <c r="U54" i="3"/>
  <c r="K9" i="3"/>
  <c r="P18" i="3"/>
  <c r="P24" i="3"/>
  <c r="Q24" i="3"/>
  <c r="P28" i="3"/>
  <c r="Q28" i="3"/>
  <c r="P30" i="3"/>
  <c r="Q29" i="3"/>
  <c r="Q30" i="3"/>
  <c r="P31" i="3"/>
  <c r="Q31" i="3"/>
  <c r="P32" i="3"/>
  <c r="Q32" i="3"/>
  <c r="P33" i="3"/>
  <c r="Q33" i="3"/>
  <c r="P34" i="3"/>
  <c r="Q34" i="3"/>
  <c r="P35" i="3"/>
  <c r="Q35" i="3"/>
  <c r="P36" i="3"/>
  <c r="Q36" i="3"/>
  <c r="P37" i="3"/>
  <c r="Q37" i="3"/>
  <c r="P38" i="3"/>
  <c r="Q38" i="3"/>
  <c r="P39" i="3"/>
  <c r="Q39" i="3"/>
  <c r="P40" i="3"/>
  <c r="Q40" i="3"/>
  <c r="P41" i="3"/>
  <c r="Q41" i="3"/>
  <c r="P42" i="3"/>
  <c r="Q42" i="3"/>
  <c r="P43" i="3"/>
  <c r="Q43" i="3"/>
  <c r="P44" i="3"/>
  <c r="Q44" i="3"/>
  <c r="P45" i="3"/>
  <c r="Q45" i="3"/>
  <c r="P46" i="3"/>
  <c r="Q46" i="3"/>
  <c r="P47" i="3"/>
  <c r="Q47" i="3"/>
  <c r="P48" i="3"/>
  <c r="Q48" i="3"/>
  <c r="P49" i="3"/>
  <c r="Q49" i="3"/>
  <c r="P50" i="3"/>
  <c r="Q50" i="3"/>
  <c r="P51" i="3"/>
  <c r="Q51" i="3"/>
  <c r="P52" i="3"/>
  <c r="Q52" i="3"/>
  <c r="P23" i="3"/>
  <c r="Q23" i="3"/>
  <c r="P25" i="3"/>
  <c r="Q25" i="3"/>
  <c r="P26" i="3"/>
  <c r="Q26" i="3"/>
  <c r="P27" i="3"/>
  <c r="Q27" i="3"/>
  <c r="R24" i="3"/>
  <c r="R54" i="3"/>
  <c r="K8" i="3"/>
  <c r="O24" i="3"/>
  <c r="O54" i="3"/>
  <c r="K7" i="3"/>
  <c r="AJ23" i="3"/>
  <c r="AJ53" i="3"/>
  <c r="J14" i="3"/>
  <c r="AG23" i="3"/>
  <c r="AG53" i="3"/>
  <c r="J13" i="3"/>
  <c r="AD23" i="3"/>
  <c r="AD53" i="3"/>
  <c r="J12" i="3"/>
  <c r="AA23" i="3"/>
  <c r="AA53" i="3"/>
  <c r="J11" i="3"/>
  <c r="X23" i="3"/>
  <c r="X53" i="3"/>
  <c r="J10" i="3"/>
  <c r="U23" i="3"/>
  <c r="U53" i="3"/>
  <c r="J9" i="3"/>
  <c r="R23" i="3"/>
  <c r="R53" i="3"/>
  <c r="J8" i="3"/>
  <c r="O23" i="3"/>
  <c r="O53" i="3"/>
  <c r="J7" i="3"/>
  <c r="L14" i="3"/>
  <c r="L13" i="3"/>
  <c r="L12" i="3"/>
  <c r="L11" i="3"/>
  <c r="L10" i="3"/>
  <c r="L9" i="3"/>
  <c r="L8" i="3"/>
  <c r="L7" i="3"/>
  <c r="E22" i="3"/>
  <c r="E22" i="2"/>
  <c r="R28" i="3"/>
  <c r="O28" i="3"/>
  <c r="I18" i="1"/>
  <c r="P18" i="1"/>
  <c r="P24" i="1"/>
  <c r="Q24" i="1"/>
  <c r="P28" i="1"/>
  <c r="Q28" i="1"/>
  <c r="P23" i="1"/>
  <c r="Q23" i="1"/>
  <c r="P25" i="1"/>
  <c r="Q25" i="1"/>
  <c r="P26" i="1"/>
  <c r="Q26" i="1"/>
  <c r="P27" i="1"/>
  <c r="Q27" i="1"/>
  <c r="P30" i="1"/>
  <c r="Q29" i="1"/>
  <c r="Q30" i="1"/>
  <c r="P31" i="1"/>
  <c r="Q31" i="1"/>
  <c r="P32" i="1"/>
  <c r="Q32" i="1"/>
  <c r="P33" i="1"/>
  <c r="Q33" i="1"/>
  <c r="P34" i="1"/>
  <c r="Q34" i="1"/>
  <c r="P35" i="1"/>
  <c r="Q35" i="1"/>
  <c r="P36" i="1"/>
  <c r="Q36" i="1"/>
  <c r="P37" i="1"/>
  <c r="Q37" i="1"/>
  <c r="P38" i="1"/>
  <c r="Q38" i="1"/>
  <c r="P39" i="1"/>
  <c r="Q39" i="1"/>
  <c r="P40" i="1"/>
  <c r="Q40" i="1"/>
  <c r="P41" i="1"/>
  <c r="Q41" i="1"/>
  <c r="P42" i="1"/>
  <c r="Q42" i="1"/>
  <c r="P43" i="1"/>
  <c r="Q43" i="1"/>
  <c r="P44" i="1"/>
  <c r="Q44" i="1"/>
  <c r="P45" i="1"/>
  <c r="Q45" i="1"/>
  <c r="P46" i="1"/>
  <c r="Q46" i="1"/>
  <c r="P47" i="1"/>
  <c r="Q47" i="1"/>
  <c r="P48" i="1"/>
  <c r="Q48" i="1"/>
  <c r="P49" i="1"/>
  <c r="Q49" i="1"/>
  <c r="P50" i="1"/>
  <c r="Q50" i="1"/>
  <c r="P51" i="1"/>
  <c r="Q51" i="1"/>
  <c r="P52" i="1"/>
  <c r="Q52" i="1"/>
  <c r="R28" i="1"/>
  <c r="N24" i="1"/>
  <c r="M28" i="1"/>
  <c r="N28" i="1"/>
  <c r="M23" i="1"/>
  <c r="N23" i="1"/>
  <c r="M25" i="1"/>
  <c r="N25" i="1"/>
  <c r="M26" i="1"/>
  <c r="N26" i="1"/>
  <c r="M27" i="1"/>
  <c r="N27" i="1"/>
  <c r="M30" i="1"/>
  <c r="N29" i="1"/>
  <c r="N30" i="1"/>
  <c r="M31" i="1"/>
  <c r="N31" i="1"/>
  <c r="N32" i="1"/>
  <c r="M33" i="1"/>
  <c r="N33" i="1"/>
  <c r="M34" i="1"/>
  <c r="N34" i="1"/>
  <c r="M35" i="1"/>
  <c r="N35" i="1"/>
  <c r="M36" i="1"/>
  <c r="N36" i="1"/>
  <c r="M37" i="1"/>
  <c r="N37" i="1"/>
  <c r="M38" i="1"/>
  <c r="N38" i="1"/>
  <c r="M39" i="1"/>
  <c r="N39" i="1"/>
  <c r="M40" i="1"/>
  <c r="N40" i="1"/>
  <c r="M41" i="1"/>
  <c r="N41" i="1"/>
  <c r="M42" i="1"/>
  <c r="N42" i="1"/>
  <c r="M43" i="1"/>
  <c r="N43" i="1"/>
  <c r="M44" i="1"/>
  <c r="N44" i="1"/>
  <c r="M45" i="1"/>
  <c r="N45" i="1"/>
  <c r="M46" i="1"/>
  <c r="N46" i="1"/>
  <c r="M47" i="1"/>
  <c r="N47" i="1"/>
  <c r="M48" i="1"/>
  <c r="N48" i="1"/>
  <c r="M49" i="1"/>
  <c r="N49" i="1"/>
  <c r="M50" i="1"/>
  <c r="N50" i="1"/>
  <c r="M51" i="1"/>
  <c r="N51" i="1"/>
  <c r="M52" i="1"/>
  <c r="N52" i="1"/>
  <c r="O28" i="1"/>
  <c r="AJ28" i="3"/>
  <c r="AG28" i="3"/>
  <c r="AD28" i="3"/>
  <c r="AA28" i="3"/>
  <c r="X28" i="3"/>
  <c r="U28" i="3"/>
  <c r="J30" i="2"/>
  <c r="J28" i="2"/>
  <c r="M30" i="2"/>
  <c r="AH28" i="2"/>
  <c r="AI28" i="2"/>
  <c r="I18" i="2"/>
  <c r="AH24" i="2"/>
  <c r="AI24" i="2"/>
  <c r="AH23" i="2"/>
  <c r="AI23" i="2"/>
  <c r="AH25" i="2"/>
  <c r="AI25" i="2"/>
  <c r="AH26" i="2"/>
  <c r="AI26" i="2"/>
  <c r="AH27" i="2"/>
  <c r="AI27" i="2"/>
  <c r="AH30" i="2"/>
  <c r="AI29" i="2"/>
  <c r="AI30" i="2"/>
  <c r="AH31" i="2"/>
  <c r="AI31" i="2"/>
  <c r="AH32" i="2"/>
  <c r="AI32" i="2"/>
  <c r="AH33" i="2"/>
  <c r="AI33" i="2"/>
  <c r="AH34" i="2"/>
  <c r="AI34" i="2"/>
  <c r="AH35" i="2"/>
  <c r="AI35" i="2"/>
  <c r="AH36" i="2"/>
  <c r="AI36" i="2"/>
  <c r="AH37" i="2"/>
  <c r="AI37" i="2"/>
  <c r="AH38" i="2"/>
  <c r="AI38" i="2"/>
  <c r="AH39" i="2"/>
  <c r="AI39" i="2"/>
  <c r="AH40" i="2"/>
  <c r="AI40" i="2"/>
  <c r="AH41" i="2"/>
  <c r="AI41" i="2"/>
  <c r="AH42" i="2"/>
  <c r="AI42" i="2"/>
  <c r="AH43" i="2"/>
  <c r="AI43" i="2"/>
  <c r="AH44" i="2"/>
  <c r="AI44" i="2"/>
  <c r="AH45" i="2"/>
  <c r="AI45" i="2"/>
  <c r="AH46" i="2"/>
  <c r="AI46" i="2"/>
  <c r="AH47" i="2"/>
  <c r="AI47" i="2"/>
  <c r="AH48" i="2"/>
  <c r="AI48" i="2"/>
  <c r="AH49" i="2"/>
  <c r="AI49" i="2"/>
  <c r="AH50" i="2"/>
  <c r="AI50" i="2"/>
  <c r="AH51" i="2"/>
  <c r="AI51" i="2"/>
  <c r="AH52" i="2"/>
  <c r="AI52" i="2"/>
  <c r="AJ28" i="2"/>
  <c r="AE28" i="2"/>
  <c r="AF28" i="2"/>
  <c r="AE24" i="2"/>
  <c r="AF24" i="2"/>
  <c r="AE23" i="2"/>
  <c r="AF23" i="2"/>
  <c r="AE25" i="2"/>
  <c r="AF25" i="2"/>
  <c r="AE26" i="2"/>
  <c r="AF26" i="2"/>
  <c r="AE27" i="2"/>
  <c r="AF27" i="2"/>
  <c r="AE30" i="2"/>
  <c r="AF29" i="2"/>
  <c r="AF30" i="2"/>
  <c r="AE31" i="2"/>
  <c r="AF31" i="2"/>
  <c r="AE32" i="2"/>
  <c r="AF32" i="2"/>
  <c r="AE33" i="2"/>
  <c r="AF33" i="2"/>
  <c r="AE34" i="2"/>
  <c r="AF34" i="2"/>
  <c r="AE35" i="2"/>
  <c r="AF35" i="2"/>
  <c r="AE36" i="2"/>
  <c r="AF36" i="2"/>
  <c r="AE37" i="2"/>
  <c r="AF37" i="2"/>
  <c r="AE38" i="2"/>
  <c r="AF38" i="2"/>
  <c r="AE39" i="2"/>
  <c r="AF39" i="2"/>
  <c r="AE40" i="2"/>
  <c r="AF40" i="2"/>
  <c r="AE41" i="2"/>
  <c r="AF41" i="2"/>
  <c r="AE42" i="2"/>
  <c r="AF42" i="2"/>
  <c r="AE43" i="2"/>
  <c r="AF43" i="2"/>
  <c r="AE44" i="2"/>
  <c r="AF44" i="2"/>
  <c r="AE45" i="2"/>
  <c r="AF45" i="2"/>
  <c r="AE46" i="2"/>
  <c r="AF46" i="2"/>
  <c r="AE47" i="2"/>
  <c r="AF47" i="2"/>
  <c r="AE48" i="2"/>
  <c r="AF48" i="2"/>
  <c r="AE49" i="2"/>
  <c r="AF49" i="2"/>
  <c r="AE50" i="2"/>
  <c r="AF50" i="2"/>
  <c r="AE51" i="2"/>
  <c r="AF51" i="2"/>
  <c r="AE52" i="2"/>
  <c r="AF52" i="2"/>
  <c r="AG28" i="2"/>
  <c r="AB28" i="2"/>
  <c r="AC28" i="2"/>
  <c r="AB24" i="2"/>
  <c r="AC24" i="2"/>
  <c r="AB23" i="2"/>
  <c r="AC23" i="2"/>
  <c r="AB25" i="2"/>
  <c r="AC25" i="2"/>
  <c r="AB26" i="2"/>
  <c r="AC26" i="2"/>
  <c r="AB27" i="2"/>
  <c r="AC27" i="2"/>
  <c r="AB30" i="2"/>
  <c r="AC29" i="2"/>
  <c r="AC30" i="2"/>
  <c r="AB31" i="2"/>
  <c r="AC31" i="2"/>
  <c r="AB32" i="2"/>
  <c r="AC32" i="2"/>
  <c r="AB33" i="2"/>
  <c r="AC33" i="2"/>
  <c r="AB34" i="2"/>
  <c r="AC34" i="2"/>
  <c r="AB35" i="2"/>
  <c r="AC35" i="2"/>
  <c r="AB36" i="2"/>
  <c r="AC36" i="2"/>
  <c r="AB37" i="2"/>
  <c r="AC37" i="2"/>
  <c r="AB38" i="2"/>
  <c r="AC38" i="2"/>
  <c r="AB39" i="2"/>
  <c r="AC39" i="2"/>
  <c r="AB40" i="2"/>
  <c r="AC40" i="2"/>
  <c r="AB41" i="2"/>
  <c r="AC41" i="2"/>
  <c r="AB42" i="2"/>
  <c r="AC42" i="2"/>
  <c r="AB43" i="2"/>
  <c r="AC43" i="2"/>
  <c r="AB44" i="2"/>
  <c r="AC44" i="2"/>
  <c r="AB45" i="2"/>
  <c r="AC45" i="2"/>
  <c r="AB46" i="2"/>
  <c r="AC46" i="2"/>
  <c r="AB47" i="2"/>
  <c r="AC47" i="2"/>
  <c r="AB48" i="2"/>
  <c r="AC48" i="2"/>
  <c r="AB49" i="2"/>
  <c r="AC49" i="2"/>
  <c r="AB50" i="2"/>
  <c r="AC50" i="2"/>
  <c r="AB51" i="2"/>
  <c r="AC51" i="2"/>
  <c r="AB52" i="2"/>
  <c r="AC52" i="2"/>
  <c r="AD28" i="2"/>
  <c r="Y28" i="2"/>
  <c r="Z28" i="2"/>
  <c r="Y24" i="2"/>
  <c r="Z24" i="2"/>
  <c r="Y23" i="2"/>
  <c r="Z23" i="2"/>
  <c r="Y25" i="2"/>
  <c r="Z25" i="2"/>
  <c r="Y26" i="2"/>
  <c r="Z26" i="2"/>
  <c r="Y27" i="2"/>
  <c r="Z27" i="2"/>
  <c r="Y30" i="2"/>
  <c r="Z29" i="2"/>
  <c r="Z30" i="2"/>
  <c r="Y31" i="2"/>
  <c r="Z31" i="2"/>
  <c r="Y32" i="2"/>
  <c r="Z32" i="2"/>
  <c r="Y33" i="2"/>
  <c r="Z33" i="2"/>
  <c r="Y34" i="2"/>
  <c r="Z34" i="2"/>
  <c r="Y35" i="2"/>
  <c r="Z35" i="2"/>
  <c r="Y36" i="2"/>
  <c r="Z36" i="2"/>
  <c r="Y37" i="2"/>
  <c r="Z37" i="2"/>
  <c r="Y38" i="2"/>
  <c r="Z38" i="2"/>
  <c r="Y39" i="2"/>
  <c r="Z39" i="2"/>
  <c r="Y40" i="2"/>
  <c r="Z40" i="2"/>
  <c r="Y41" i="2"/>
  <c r="Z41" i="2"/>
  <c r="Y42" i="2"/>
  <c r="Z42" i="2"/>
  <c r="Y43" i="2"/>
  <c r="Z43" i="2"/>
  <c r="Y44" i="2"/>
  <c r="Z44" i="2"/>
  <c r="Y45" i="2"/>
  <c r="Z45" i="2"/>
  <c r="Y46" i="2"/>
  <c r="Z46" i="2"/>
  <c r="Y47" i="2"/>
  <c r="Z47" i="2"/>
  <c r="Y48" i="2"/>
  <c r="Z48" i="2"/>
  <c r="Y49" i="2"/>
  <c r="Z49" i="2"/>
  <c r="Y50" i="2"/>
  <c r="Z50" i="2"/>
  <c r="Y51" i="2"/>
  <c r="Z51" i="2"/>
  <c r="Y52" i="2"/>
  <c r="Z52" i="2"/>
  <c r="AA28" i="2"/>
  <c r="V28" i="2"/>
  <c r="W28" i="2"/>
  <c r="V24" i="2"/>
  <c r="W24" i="2"/>
  <c r="V23" i="2"/>
  <c r="W23" i="2"/>
  <c r="V25" i="2"/>
  <c r="W25" i="2"/>
  <c r="V26" i="2"/>
  <c r="W26" i="2"/>
  <c r="V27" i="2"/>
  <c r="W27" i="2"/>
  <c r="V30" i="2"/>
  <c r="W29" i="2"/>
  <c r="W30" i="2"/>
  <c r="V31" i="2"/>
  <c r="W31" i="2"/>
  <c r="V32" i="2"/>
  <c r="W32" i="2"/>
  <c r="V33" i="2"/>
  <c r="W33" i="2"/>
  <c r="V34" i="2"/>
  <c r="W34" i="2"/>
  <c r="V35" i="2"/>
  <c r="W35" i="2"/>
  <c r="V36" i="2"/>
  <c r="W36" i="2"/>
  <c r="V37" i="2"/>
  <c r="W37" i="2"/>
  <c r="V38" i="2"/>
  <c r="W38" i="2"/>
  <c r="V39" i="2"/>
  <c r="W39" i="2"/>
  <c r="V40" i="2"/>
  <c r="W40" i="2"/>
  <c r="V41" i="2"/>
  <c r="W41" i="2"/>
  <c r="V42" i="2"/>
  <c r="W42" i="2"/>
  <c r="V43" i="2"/>
  <c r="W43" i="2"/>
  <c r="V44" i="2"/>
  <c r="W44" i="2"/>
  <c r="V45" i="2"/>
  <c r="W45" i="2"/>
  <c r="V46" i="2"/>
  <c r="W46" i="2"/>
  <c r="V47" i="2"/>
  <c r="W47" i="2"/>
  <c r="V48" i="2"/>
  <c r="W48" i="2"/>
  <c r="V49" i="2"/>
  <c r="W49" i="2"/>
  <c r="V50" i="2"/>
  <c r="W50" i="2"/>
  <c r="V51" i="2"/>
  <c r="W51" i="2"/>
  <c r="V52" i="2"/>
  <c r="W52" i="2"/>
  <c r="X28" i="2"/>
  <c r="S28" i="2"/>
  <c r="T28" i="2"/>
  <c r="S24" i="2"/>
  <c r="T24" i="2"/>
  <c r="S23" i="2"/>
  <c r="T23" i="2"/>
  <c r="S25" i="2"/>
  <c r="T25" i="2"/>
  <c r="S26" i="2"/>
  <c r="T26" i="2"/>
  <c r="S27" i="2"/>
  <c r="T27" i="2"/>
  <c r="S30" i="2"/>
  <c r="T29" i="2"/>
  <c r="T30" i="2"/>
  <c r="S31" i="2"/>
  <c r="T31" i="2"/>
  <c r="S32" i="2"/>
  <c r="T32" i="2"/>
  <c r="S33" i="2"/>
  <c r="T33" i="2"/>
  <c r="S34" i="2"/>
  <c r="T34" i="2"/>
  <c r="S35" i="2"/>
  <c r="T35" i="2"/>
  <c r="S36" i="2"/>
  <c r="T36" i="2"/>
  <c r="S37" i="2"/>
  <c r="T37" i="2"/>
  <c r="S38" i="2"/>
  <c r="T38" i="2"/>
  <c r="S39" i="2"/>
  <c r="T39" i="2"/>
  <c r="S40" i="2"/>
  <c r="T40" i="2"/>
  <c r="S41" i="2"/>
  <c r="T41" i="2"/>
  <c r="S42" i="2"/>
  <c r="T42" i="2"/>
  <c r="S43" i="2"/>
  <c r="T43" i="2"/>
  <c r="S44" i="2"/>
  <c r="T44" i="2"/>
  <c r="S45" i="2"/>
  <c r="T45" i="2"/>
  <c r="S46" i="2"/>
  <c r="T46" i="2"/>
  <c r="S47" i="2"/>
  <c r="T47" i="2"/>
  <c r="S48" i="2"/>
  <c r="T48" i="2"/>
  <c r="S49" i="2"/>
  <c r="T49" i="2"/>
  <c r="S50" i="2"/>
  <c r="T50" i="2"/>
  <c r="S51" i="2"/>
  <c r="T51" i="2"/>
  <c r="S52" i="2"/>
  <c r="T52" i="2"/>
  <c r="U28" i="2"/>
  <c r="P28" i="2"/>
  <c r="Q28" i="2"/>
  <c r="P24" i="2"/>
  <c r="Q24" i="2"/>
  <c r="P23" i="2"/>
  <c r="Q23" i="2"/>
  <c r="P25" i="2"/>
  <c r="Q25" i="2"/>
  <c r="P26" i="2"/>
  <c r="Q26" i="2"/>
  <c r="P27" i="2"/>
  <c r="Q27" i="2"/>
  <c r="P30" i="2"/>
  <c r="Q29" i="2"/>
  <c r="Q30" i="2"/>
  <c r="P31" i="2"/>
  <c r="Q31" i="2"/>
  <c r="P32" i="2"/>
  <c r="Q32" i="2"/>
  <c r="P33" i="2"/>
  <c r="Q33" i="2"/>
  <c r="P34" i="2"/>
  <c r="Q34" i="2"/>
  <c r="P35" i="2"/>
  <c r="Q35" i="2"/>
  <c r="P36" i="2"/>
  <c r="Q36" i="2"/>
  <c r="P37" i="2"/>
  <c r="Q37" i="2"/>
  <c r="P38" i="2"/>
  <c r="Q38" i="2"/>
  <c r="P39" i="2"/>
  <c r="Q39" i="2"/>
  <c r="P40" i="2"/>
  <c r="Q40" i="2"/>
  <c r="P41" i="2"/>
  <c r="Q41" i="2"/>
  <c r="P42" i="2"/>
  <c r="Q42" i="2"/>
  <c r="P43" i="2"/>
  <c r="Q43" i="2"/>
  <c r="P44" i="2"/>
  <c r="Q44" i="2"/>
  <c r="P45" i="2"/>
  <c r="Q45" i="2"/>
  <c r="P46" i="2"/>
  <c r="Q46" i="2"/>
  <c r="P47" i="2"/>
  <c r="Q47" i="2"/>
  <c r="P48" i="2"/>
  <c r="Q48" i="2"/>
  <c r="P49" i="2"/>
  <c r="Q49" i="2"/>
  <c r="P50" i="2"/>
  <c r="Q50" i="2"/>
  <c r="P51" i="2"/>
  <c r="Q51" i="2"/>
  <c r="P52" i="2"/>
  <c r="Q52" i="2"/>
  <c r="R28" i="2"/>
  <c r="M28" i="2"/>
  <c r="N28" i="2"/>
  <c r="M24" i="2"/>
  <c r="N24" i="2"/>
  <c r="M23" i="2"/>
  <c r="N23" i="2"/>
  <c r="M25" i="2"/>
  <c r="N25" i="2"/>
  <c r="M26" i="2"/>
  <c r="N26" i="2"/>
  <c r="M27" i="2"/>
  <c r="N27" i="2"/>
  <c r="N29" i="2"/>
  <c r="N30" i="2"/>
  <c r="M31" i="2"/>
  <c r="N31" i="2"/>
  <c r="M32" i="2"/>
  <c r="N32" i="2"/>
  <c r="M33" i="2"/>
  <c r="N33" i="2"/>
  <c r="M34" i="2"/>
  <c r="N34" i="2"/>
  <c r="M35" i="2"/>
  <c r="N35" i="2"/>
  <c r="M36" i="2"/>
  <c r="N36" i="2"/>
  <c r="M37" i="2"/>
  <c r="N37" i="2"/>
  <c r="M38" i="2"/>
  <c r="N38" i="2"/>
  <c r="M39" i="2"/>
  <c r="N39" i="2"/>
  <c r="M40" i="2"/>
  <c r="N40" i="2"/>
  <c r="M41" i="2"/>
  <c r="N41" i="2"/>
  <c r="M42" i="2"/>
  <c r="N42" i="2"/>
  <c r="M43" i="2"/>
  <c r="N43" i="2"/>
  <c r="M44" i="2"/>
  <c r="N44" i="2"/>
  <c r="M45" i="2"/>
  <c r="N45" i="2"/>
  <c r="M46" i="2"/>
  <c r="N46" i="2"/>
  <c r="M47" i="2"/>
  <c r="N47" i="2"/>
  <c r="M48" i="2"/>
  <c r="N48" i="2"/>
  <c r="M49" i="2"/>
  <c r="N49" i="2"/>
  <c r="M50" i="2"/>
  <c r="N50" i="2"/>
  <c r="M51" i="2"/>
  <c r="N51" i="2"/>
  <c r="M52" i="2"/>
  <c r="N52" i="2"/>
  <c r="O28" i="2"/>
  <c r="AH23" i="1"/>
  <c r="AI23" i="1"/>
  <c r="AH25" i="1"/>
  <c r="AI25" i="1"/>
  <c r="AH26" i="1"/>
  <c r="AI26" i="1"/>
  <c r="AH27" i="1"/>
  <c r="AI27" i="1"/>
  <c r="AE23" i="1"/>
  <c r="AF23" i="1"/>
  <c r="AE25" i="1"/>
  <c r="AF25" i="1"/>
  <c r="AE26" i="1"/>
  <c r="AF26" i="1"/>
  <c r="AE27" i="1"/>
  <c r="AF27" i="1"/>
  <c r="AB23" i="1"/>
  <c r="AC23" i="1"/>
  <c r="AB25" i="1"/>
  <c r="AC25" i="1"/>
  <c r="AB26" i="1"/>
  <c r="AC26" i="1"/>
  <c r="AB27" i="1"/>
  <c r="AC27" i="1"/>
  <c r="Y28" i="1"/>
  <c r="Z28" i="1"/>
  <c r="Y18" i="1"/>
  <c r="Y24" i="1"/>
  <c r="Z24" i="1"/>
  <c r="Y23" i="1"/>
  <c r="Z23" i="1"/>
  <c r="Y25" i="1"/>
  <c r="Z25" i="1"/>
  <c r="Y26" i="1"/>
  <c r="Z26" i="1"/>
  <c r="Y27" i="1"/>
  <c r="Z27" i="1"/>
  <c r="Y30" i="1"/>
  <c r="Z29" i="1"/>
  <c r="Z30" i="1"/>
  <c r="Y31" i="1"/>
  <c r="Z31" i="1"/>
  <c r="Y32" i="1"/>
  <c r="Z32" i="1"/>
  <c r="Y33" i="1"/>
  <c r="Z33" i="1"/>
  <c r="Y34" i="1"/>
  <c r="Z34" i="1"/>
  <c r="Y35" i="1"/>
  <c r="Z35" i="1"/>
  <c r="Y36" i="1"/>
  <c r="Z36" i="1"/>
  <c r="Y37" i="1"/>
  <c r="Z37" i="1"/>
  <c r="Y38" i="1"/>
  <c r="Z38" i="1"/>
  <c r="Y39" i="1"/>
  <c r="Z39" i="1"/>
  <c r="Y40" i="1"/>
  <c r="Z40" i="1"/>
  <c r="Y41" i="1"/>
  <c r="Z41" i="1"/>
  <c r="Y42" i="1"/>
  <c r="Z42" i="1"/>
  <c r="Y43" i="1"/>
  <c r="Z43" i="1"/>
  <c r="Y44" i="1"/>
  <c r="Z44" i="1"/>
  <c r="Y45" i="1"/>
  <c r="Z45" i="1"/>
  <c r="Y46" i="1"/>
  <c r="Z46" i="1"/>
  <c r="Y47" i="1"/>
  <c r="Z47" i="1"/>
  <c r="Y48" i="1"/>
  <c r="Z48" i="1"/>
  <c r="Y49" i="1"/>
  <c r="Z49" i="1"/>
  <c r="Y50" i="1"/>
  <c r="Z50" i="1"/>
  <c r="Y51" i="1"/>
  <c r="Z51" i="1"/>
  <c r="Y52" i="1"/>
  <c r="Z52" i="1"/>
  <c r="AA28" i="1"/>
  <c r="V28" i="1"/>
  <c r="W28" i="1"/>
  <c r="V18" i="1"/>
  <c r="V24" i="1"/>
  <c r="W24" i="1"/>
  <c r="V23" i="1"/>
  <c r="W23" i="1"/>
  <c r="V25" i="1"/>
  <c r="W25" i="1"/>
  <c r="V26" i="1"/>
  <c r="W26" i="1"/>
  <c r="V27" i="1"/>
  <c r="W27" i="1"/>
  <c r="V30" i="1"/>
  <c r="W29" i="1"/>
  <c r="W30" i="1"/>
  <c r="V31" i="1"/>
  <c r="W31" i="1"/>
  <c r="V32" i="1"/>
  <c r="W32" i="1"/>
  <c r="V33" i="1"/>
  <c r="W33" i="1"/>
  <c r="V34" i="1"/>
  <c r="W34" i="1"/>
  <c r="V35" i="1"/>
  <c r="W35" i="1"/>
  <c r="V36" i="1"/>
  <c r="W36" i="1"/>
  <c r="V37" i="1"/>
  <c r="W37" i="1"/>
  <c r="V38" i="1"/>
  <c r="W38" i="1"/>
  <c r="V39" i="1"/>
  <c r="W39" i="1"/>
  <c r="V40" i="1"/>
  <c r="W40" i="1"/>
  <c r="V41" i="1"/>
  <c r="W41" i="1"/>
  <c r="V42" i="1"/>
  <c r="W42" i="1"/>
  <c r="V43" i="1"/>
  <c r="W43" i="1"/>
  <c r="V44" i="1"/>
  <c r="W44" i="1"/>
  <c r="V45" i="1"/>
  <c r="W45" i="1"/>
  <c r="V46" i="1"/>
  <c r="W46" i="1"/>
  <c r="V47" i="1"/>
  <c r="W47" i="1"/>
  <c r="V48" i="1"/>
  <c r="W48" i="1"/>
  <c r="V49" i="1"/>
  <c r="W49" i="1"/>
  <c r="V50" i="1"/>
  <c r="W50" i="1"/>
  <c r="V51" i="1"/>
  <c r="W51" i="1"/>
  <c r="V52" i="1"/>
  <c r="W52" i="1"/>
  <c r="X28" i="1"/>
  <c r="S28" i="1"/>
  <c r="T28" i="1"/>
  <c r="S18" i="1"/>
  <c r="S24" i="1"/>
  <c r="T24" i="1"/>
  <c r="S23" i="1"/>
  <c r="T23" i="1"/>
  <c r="S25" i="1"/>
  <c r="T25" i="1"/>
  <c r="S26" i="1"/>
  <c r="T26" i="1"/>
  <c r="S27" i="1"/>
  <c r="T27" i="1"/>
  <c r="S30" i="1"/>
  <c r="T29" i="1"/>
  <c r="T30" i="1"/>
  <c r="S31" i="1"/>
  <c r="T31" i="1"/>
  <c r="S32" i="1"/>
  <c r="T32" i="1"/>
  <c r="S33" i="1"/>
  <c r="T33" i="1"/>
  <c r="S34" i="1"/>
  <c r="T34" i="1"/>
  <c r="S35" i="1"/>
  <c r="T35" i="1"/>
  <c r="S36" i="1"/>
  <c r="T36" i="1"/>
  <c r="S37" i="1"/>
  <c r="T37" i="1"/>
  <c r="S38" i="1"/>
  <c r="T38" i="1"/>
  <c r="S39" i="1"/>
  <c r="T39" i="1"/>
  <c r="S40" i="1"/>
  <c r="T40" i="1"/>
  <c r="S41" i="1"/>
  <c r="T41" i="1"/>
  <c r="S42" i="1"/>
  <c r="T42" i="1"/>
  <c r="S43" i="1"/>
  <c r="T43" i="1"/>
  <c r="S44" i="1"/>
  <c r="T44" i="1"/>
  <c r="S45" i="1"/>
  <c r="T45" i="1"/>
  <c r="S46" i="1"/>
  <c r="T46" i="1"/>
  <c r="S47" i="1"/>
  <c r="T47" i="1"/>
  <c r="S48" i="1"/>
  <c r="T48" i="1"/>
  <c r="S49" i="1"/>
  <c r="T49" i="1"/>
  <c r="S50" i="1"/>
  <c r="T50" i="1"/>
  <c r="S51" i="1"/>
  <c r="T51" i="1"/>
  <c r="S52" i="1"/>
  <c r="T52" i="1"/>
  <c r="U28" i="1"/>
  <c r="C62" i="2"/>
  <c r="D67" i="2"/>
  <c r="AJ23" i="2"/>
  <c r="AJ53" i="2"/>
  <c r="H14" i="2"/>
  <c r="AJ24" i="2"/>
  <c r="AJ54" i="2"/>
  <c r="I14" i="2"/>
  <c r="J14" i="2"/>
  <c r="O23" i="2"/>
  <c r="O53" i="2"/>
  <c r="H7" i="2"/>
  <c r="AG23" i="2"/>
  <c r="AG53" i="2"/>
  <c r="H13" i="2"/>
  <c r="AG24" i="2"/>
  <c r="AG54" i="2"/>
  <c r="I13" i="2"/>
  <c r="J13" i="2"/>
  <c r="AD23" i="2"/>
  <c r="AD53" i="2"/>
  <c r="H12" i="2"/>
  <c r="AD24" i="2"/>
  <c r="AD54" i="2"/>
  <c r="I12" i="2"/>
  <c r="J12" i="2"/>
  <c r="AA23" i="2"/>
  <c r="AA53" i="2"/>
  <c r="H11" i="2"/>
  <c r="AA24" i="2"/>
  <c r="AA54" i="2"/>
  <c r="I11" i="2"/>
  <c r="J11" i="2"/>
  <c r="X23" i="2"/>
  <c r="X53" i="2"/>
  <c r="H10" i="2"/>
  <c r="X24" i="2"/>
  <c r="X54" i="2"/>
  <c r="I10" i="2"/>
  <c r="J10" i="2"/>
  <c r="U23" i="2"/>
  <c r="U53" i="2"/>
  <c r="H9" i="2"/>
  <c r="U24" i="2"/>
  <c r="U54" i="2"/>
  <c r="I9" i="2"/>
  <c r="J9" i="2"/>
  <c r="R23" i="2"/>
  <c r="R53" i="2"/>
  <c r="H8" i="2"/>
  <c r="R24" i="2"/>
  <c r="R54" i="2"/>
  <c r="I8" i="2"/>
  <c r="J8" i="2"/>
  <c r="O24" i="2"/>
  <c r="O54" i="2"/>
  <c r="I7" i="2"/>
  <c r="J7" i="2"/>
  <c r="R23" i="1"/>
  <c r="R53" i="1"/>
  <c r="H8" i="1"/>
  <c r="R24" i="1"/>
  <c r="R54" i="1"/>
  <c r="I8" i="1"/>
  <c r="J8" i="1"/>
  <c r="U23" i="1"/>
  <c r="U53" i="1"/>
  <c r="H9" i="1"/>
  <c r="U24" i="1"/>
  <c r="U54" i="1"/>
  <c r="I9" i="1"/>
  <c r="J9" i="1"/>
  <c r="X23" i="1"/>
  <c r="X53" i="1"/>
  <c r="H10" i="1"/>
  <c r="X24" i="1"/>
  <c r="X54" i="1"/>
  <c r="I10" i="1"/>
  <c r="J10" i="1"/>
  <c r="AA23" i="1"/>
  <c r="AA53" i="1"/>
  <c r="H11" i="1"/>
  <c r="AA24" i="1"/>
  <c r="AA54" i="1"/>
  <c r="I11" i="1"/>
  <c r="J11" i="1"/>
  <c r="O23" i="1"/>
  <c r="O53" i="1"/>
  <c r="H7" i="1"/>
  <c r="O24" i="1"/>
  <c r="O54" i="1"/>
  <c r="I7" i="1"/>
  <c r="J7" i="1"/>
  <c r="F25" i="3"/>
  <c r="F23" i="3"/>
  <c r="F24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19" i="3"/>
  <c r="C62" i="1"/>
  <c r="D67" i="1"/>
  <c r="D69" i="1"/>
  <c r="D68" i="1"/>
  <c r="D74" i="1"/>
  <c r="E74" i="1"/>
  <c r="F62" i="2"/>
  <c r="D66" i="2"/>
  <c r="D62" i="2"/>
  <c r="G62" i="2"/>
  <c r="E62" i="2"/>
  <c r="F74" i="2"/>
  <c r="F104" i="2"/>
  <c r="F73" i="2"/>
  <c r="F103" i="2"/>
  <c r="J53" i="1"/>
  <c r="F74" i="1"/>
  <c r="F73" i="1"/>
  <c r="F103" i="1"/>
  <c r="F104" i="1"/>
  <c r="D62" i="1"/>
  <c r="F62" i="1"/>
  <c r="G62" i="1"/>
  <c r="D66" i="1"/>
  <c r="O25" i="1"/>
  <c r="O26" i="1"/>
  <c r="O27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5" i="1"/>
  <c r="M20" i="1"/>
  <c r="M21" i="1"/>
  <c r="F7" i="1"/>
  <c r="D7" i="1"/>
  <c r="G7" i="1"/>
  <c r="E7" i="1"/>
  <c r="AJ25" i="3"/>
  <c r="AJ26" i="3"/>
  <c r="AJ27" i="3"/>
  <c r="AJ29" i="3"/>
  <c r="AJ30" i="3"/>
  <c r="AJ31" i="3"/>
  <c r="AJ32" i="3"/>
  <c r="AJ33" i="3"/>
  <c r="AJ34" i="3"/>
  <c r="AJ35" i="3"/>
  <c r="AJ36" i="3"/>
  <c r="AJ37" i="3"/>
  <c r="AJ38" i="3"/>
  <c r="AJ39" i="3"/>
  <c r="AJ40" i="3"/>
  <c r="AJ41" i="3"/>
  <c r="AJ42" i="3"/>
  <c r="AJ43" i="3"/>
  <c r="AJ44" i="3"/>
  <c r="AJ45" i="3"/>
  <c r="AJ46" i="3"/>
  <c r="AJ47" i="3"/>
  <c r="AJ48" i="3"/>
  <c r="AJ49" i="3"/>
  <c r="AJ50" i="3"/>
  <c r="AJ51" i="3"/>
  <c r="AJ52" i="3"/>
  <c r="AJ55" i="3"/>
  <c r="AH15" i="3"/>
  <c r="G53" i="1"/>
  <c r="O25" i="2"/>
  <c r="O26" i="2"/>
  <c r="O27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5" i="2"/>
  <c r="M20" i="2"/>
  <c r="M21" i="2"/>
  <c r="R25" i="3"/>
  <c r="R26" i="3"/>
  <c r="R27" i="3"/>
  <c r="R29" i="3"/>
  <c r="R30" i="3"/>
  <c r="R31" i="3"/>
  <c r="R32" i="3"/>
  <c r="R33" i="3"/>
  <c r="R34" i="3"/>
  <c r="R35" i="3"/>
  <c r="R36" i="3"/>
  <c r="R37" i="3"/>
  <c r="R38" i="3"/>
  <c r="R39" i="3"/>
  <c r="R40" i="3"/>
  <c r="R41" i="3"/>
  <c r="R42" i="3"/>
  <c r="R43" i="3"/>
  <c r="R44" i="3"/>
  <c r="R45" i="3"/>
  <c r="R46" i="3"/>
  <c r="R47" i="3"/>
  <c r="R48" i="3"/>
  <c r="R49" i="3"/>
  <c r="R50" i="3"/>
  <c r="R51" i="3"/>
  <c r="R52" i="3"/>
  <c r="R55" i="3"/>
  <c r="P15" i="3"/>
  <c r="F15" i="1"/>
  <c r="C15" i="1"/>
  <c r="G15" i="1"/>
  <c r="D15" i="1"/>
  <c r="B15" i="3"/>
  <c r="I53" i="3"/>
  <c r="H53" i="2"/>
  <c r="B15" i="2"/>
  <c r="F15" i="2"/>
  <c r="J37" i="2"/>
  <c r="I53" i="2"/>
  <c r="J52" i="2"/>
  <c r="J53" i="2"/>
  <c r="J31" i="2"/>
  <c r="F7" i="2"/>
  <c r="E15" i="3"/>
  <c r="D15" i="3"/>
  <c r="C15" i="3"/>
  <c r="G53" i="3"/>
  <c r="G24" i="3"/>
  <c r="G23" i="3"/>
  <c r="G18" i="3"/>
  <c r="G17" i="3"/>
  <c r="D15" i="2"/>
  <c r="C15" i="2"/>
  <c r="E15" i="2"/>
  <c r="G15" i="2"/>
  <c r="E15" i="1"/>
  <c r="AH19" i="2"/>
  <c r="AE19" i="2"/>
  <c r="AB19" i="2"/>
  <c r="Y19" i="2"/>
  <c r="V19" i="2"/>
  <c r="S19" i="2"/>
  <c r="P19" i="2"/>
  <c r="P18" i="2"/>
  <c r="J32" i="2"/>
  <c r="J33" i="2"/>
  <c r="J34" i="2"/>
  <c r="J35" i="2"/>
  <c r="J36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G53" i="2"/>
  <c r="G24" i="2"/>
  <c r="G23" i="2"/>
  <c r="G18" i="2"/>
  <c r="G17" i="2"/>
  <c r="D11" i="1"/>
  <c r="D9" i="1"/>
  <c r="D8" i="1"/>
  <c r="U25" i="1"/>
  <c r="U26" i="1"/>
  <c r="U27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5" i="1"/>
  <c r="S20" i="1"/>
  <c r="F9" i="1"/>
  <c r="G9" i="1"/>
  <c r="X25" i="1"/>
  <c r="X26" i="1"/>
  <c r="X27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5" i="1"/>
  <c r="V20" i="1"/>
  <c r="F10" i="1"/>
  <c r="G10" i="1"/>
  <c r="AA25" i="1"/>
  <c r="AA26" i="1"/>
  <c r="AA27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5" i="1"/>
  <c r="Y20" i="1"/>
  <c r="F11" i="1"/>
  <c r="G11" i="1"/>
  <c r="R25" i="1"/>
  <c r="R26" i="1"/>
  <c r="R27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5" i="1"/>
  <c r="P20" i="1"/>
  <c r="F8" i="1"/>
  <c r="G8" i="1"/>
  <c r="E9" i="1"/>
  <c r="D10" i="1"/>
  <c r="E10" i="1"/>
  <c r="E11" i="1"/>
  <c r="E8" i="1"/>
  <c r="E62" i="1"/>
  <c r="Y21" i="1"/>
  <c r="V21" i="1"/>
  <c r="S21" i="1"/>
  <c r="P21" i="1"/>
  <c r="G24" i="1"/>
  <c r="G18" i="1"/>
  <c r="G23" i="1"/>
  <c r="G17" i="1"/>
  <c r="AJ26" i="2"/>
  <c r="AJ27" i="2"/>
  <c r="AJ29" i="2"/>
  <c r="AJ30" i="2"/>
  <c r="AJ31" i="2"/>
  <c r="AJ32" i="2"/>
  <c r="AJ33" i="2"/>
  <c r="AJ34" i="2"/>
  <c r="AJ35" i="2"/>
  <c r="AJ36" i="2"/>
  <c r="AJ37" i="2"/>
  <c r="AJ38" i="2"/>
  <c r="AJ39" i="2"/>
  <c r="AJ40" i="2"/>
  <c r="AJ41" i="2"/>
  <c r="AJ42" i="2"/>
  <c r="AJ43" i="2"/>
  <c r="AJ44" i="2"/>
  <c r="AJ45" i="2"/>
  <c r="AJ46" i="2"/>
  <c r="AJ47" i="2"/>
  <c r="AJ48" i="2"/>
  <c r="AJ49" i="2"/>
  <c r="AJ50" i="2"/>
  <c r="AJ51" i="2"/>
  <c r="AJ52" i="2"/>
  <c r="AG26" i="2"/>
  <c r="AG27" i="2"/>
  <c r="AG29" i="2"/>
  <c r="AG30" i="2"/>
  <c r="AG31" i="2"/>
  <c r="AG32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D26" i="2"/>
  <c r="AD27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A26" i="2"/>
  <c r="AA27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X26" i="2"/>
  <c r="X27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U26" i="2"/>
  <c r="U27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R26" i="2"/>
  <c r="R27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AJ25" i="2"/>
  <c r="AJ55" i="2"/>
  <c r="AH20" i="2"/>
  <c r="AH21" i="2"/>
  <c r="AG25" i="2"/>
  <c r="AG55" i="2"/>
  <c r="AE20" i="2"/>
  <c r="AE21" i="2"/>
  <c r="AD25" i="2"/>
  <c r="AD55" i="2"/>
  <c r="AB20" i="2"/>
  <c r="AB21" i="2"/>
  <c r="AA25" i="2"/>
  <c r="AA55" i="2"/>
  <c r="Y20" i="2"/>
  <c r="Y21" i="2"/>
  <c r="X25" i="2"/>
  <c r="X55" i="2"/>
  <c r="V20" i="2"/>
  <c r="V21" i="2"/>
  <c r="U25" i="2"/>
  <c r="U55" i="2"/>
  <c r="S20" i="2"/>
  <c r="S21" i="2"/>
  <c r="R25" i="2"/>
  <c r="R55" i="2"/>
  <c r="P20" i="2"/>
  <c r="P21" i="2"/>
  <c r="F14" i="2"/>
  <c r="G14" i="2"/>
  <c r="AH18" i="2"/>
  <c r="D14" i="2"/>
  <c r="E14" i="2"/>
  <c r="F13" i="2"/>
  <c r="G13" i="2"/>
  <c r="AE18" i="2"/>
  <c r="D13" i="2"/>
  <c r="E13" i="2"/>
  <c r="F12" i="2"/>
  <c r="G12" i="2"/>
  <c r="AB18" i="2"/>
  <c r="D12" i="2"/>
  <c r="E12" i="2"/>
  <c r="F11" i="2"/>
  <c r="G11" i="2"/>
  <c r="Y18" i="2"/>
  <c r="D11" i="2"/>
  <c r="E11" i="2"/>
  <c r="F10" i="2"/>
  <c r="G10" i="2"/>
  <c r="V18" i="2"/>
  <c r="D10" i="2"/>
  <c r="E10" i="2"/>
  <c r="F9" i="2"/>
  <c r="G9" i="2"/>
  <c r="S18" i="2"/>
  <c r="D9" i="2"/>
  <c r="E9" i="2"/>
  <c r="F8" i="2"/>
  <c r="G8" i="2"/>
  <c r="D8" i="2"/>
  <c r="E8" i="2"/>
  <c r="G7" i="2"/>
  <c r="E7" i="2"/>
  <c r="F14" i="3"/>
  <c r="G14" i="3"/>
  <c r="H15" i="3"/>
  <c r="I15" i="3"/>
  <c r="F15" i="3"/>
  <c r="G15" i="3"/>
  <c r="AH21" i="3"/>
  <c r="AH20" i="3"/>
  <c r="H14" i="3"/>
  <c r="I14" i="3"/>
  <c r="AE21" i="3"/>
  <c r="AE20" i="3"/>
  <c r="H13" i="3"/>
  <c r="I13" i="3"/>
  <c r="F13" i="3"/>
  <c r="G13" i="3"/>
  <c r="AB21" i="3"/>
  <c r="AB20" i="3"/>
  <c r="H12" i="3"/>
  <c r="I12" i="3"/>
  <c r="F12" i="3"/>
  <c r="G12" i="3"/>
  <c r="Y21" i="3"/>
  <c r="Y20" i="3"/>
  <c r="H11" i="3"/>
  <c r="I11" i="3"/>
  <c r="F11" i="3"/>
  <c r="G11" i="3"/>
  <c r="V21" i="3"/>
  <c r="V20" i="3"/>
  <c r="H10" i="3"/>
  <c r="I10" i="3"/>
  <c r="F10" i="3"/>
  <c r="G10" i="3"/>
  <c r="S21" i="3"/>
  <c r="S20" i="3"/>
  <c r="H9" i="3"/>
  <c r="I9" i="3"/>
  <c r="F9" i="3"/>
  <c r="G9" i="3"/>
  <c r="P21" i="3"/>
  <c r="P20" i="3"/>
  <c r="H8" i="3"/>
  <c r="I8" i="3"/>
  <c r="F8" i="3"/>
  <c r="G8" i="3"/>
  <c r="D14" i="3"/>
  <c r="E14" i="3"/>
  <c r="AG26" i="3"/>
  <c r="AG27" i="3"/>
  <c r="AG29" i="3"/>
  <c r="AG30" i="3"/>
  <c r="AG31" i="3"/>
  <c r="AG32" i="3"/>
  <c r="AG33" i="3"/>
  <c r="AG34" i="3"/>
  <c r="AG35" i="3"/>
  <c r="AG36" i="3"/>
  <c r="AG37" i="3"/>
  <c r="AG38" i="3"/>
  <c r="AG39" i="3"/>
  <c r="AG40" i="3"/>
  <c r="AG41" i="3"/>
  <c r="AG42" i="3"/>
  <c r="AG43" i="3"/>
  <c r="AG44" i="3"/>
  <c r="AG45" i="3"/>
  <c r="AG46" i="3"/>
  <c r="AG47" i="3"/>
  <c r="AG48" i="3"/>
  <c r="AG49" i="3"/>
  <c r="AG50" i="3"/>
  <c r="AG51" i="3"/>
  <c r="AG52" i="3"/>
  <c r="AG25" i="3"/>
  <c r="AG55" i="3"/>
  <c r="AE15" i="3"/>
  <c r="D13" i="3"/>
  <c r="E13" i="3"/>
  <c r="AD26" i="3"/>
  <c r="AD27" i="3"/>
  <c r="AD29" i="3"/>
  <c r="AD30" i="3"/>
  <c r="AD31" i="3"/>
  <c r="AD32" i="3"/>
  <c r="AD33" i="3"/>
  <c r="AD34" i="3"/>
  <c r="AD35" i="3"/>
  <c r="AD36" i="3"/>
  <c r="AD37" i="3"/>
  <c r="AD38" i="3"/>
  <c r="AD39" i="3"/>
  <c r="AD40" i="3"/>
  <c r="AD41" i="3"/>
  <c r="AD42" i="3"/>
  <c r="AD43" i="3"/>
  <c r="AD44" i="3"/>
  <c r="AD45" i="3"/>
  <c r="AD46" i="3"/>
  <c r="AD47" i="3"/>
  <c r="AD48" i="3"/>
  <c r="AD49" i="3"/>
  <c r="AD50" i="3"/>
  <c r="AD51" i="3"/>
  <c r="AD52" i="3"/>
  <c r="AD25" i="3"/>
  <c r="AD55" i="3"/>
  <c r="AB15" i="3"/>
  <c r="D12" i="3"/>
  <c r="E12" i="3"/>
  <c r="AA26" i="3"/>
  <c r="AA27" i="3"/>
  <c r="AA29" i="3"/>
  <c r="AA30" i="3"/>
  <c r="AA31" i="3"/>
  <c r="AA32" i="3"/>
  <c r="AA33" i="3"/>
  <c r="AA34" i="3"/>
  <c r="AA35" i="3"/>
  <c r="AA36" i="3"/>
  <c r="AA37" i="3"/>
  <c r="AA38" i="3"/>
  <c r="AA39" i="3"/>
  <c r="AA40" i="3"/>
  <c r="AA41" i="3"/>
  <c r="AA42" i="3"/>
  <c r="AA43" i="3"/>
  <c r="AA44" i="3"/>
  <c r="AA45" i="3"/>
  <c r="AA46" i="3"/>
  <c r="AA47" i="3"/>
  <c r="AA48" i="3"/>
  <c r="AA49" i="3"/>
  <c r="AA50" i="3"/>
  <c r="AA51" i="3"/>
  <c r="AA52" i="3"/>
  <c r="AA25" i="3"/>
  <c r="AA55" i="3"/>
  <c r="Y15" i="3"/>
  <c r="D11" i="3"/>
  <c r="E11" i="3"/>
  <c r="X26" i="3"/>
  <c r="X27" i="3"/>
  <c r="X29" i="3"/>
  <c r="X30" i="3"/>
  <c r="X31" i="3"/>
  <c r="X32" i="3"/>
  <c r="X33" i="3"/>
  <c r="X34" i="3"/>
  <c r="X35" i="3"/>
  <c r="X36" i="3"/>
  <c r="X37" i="3"/>
  <c r="X38" i="3"/>
  <c r="X39" i="3"/>
  <c r="X40" i="3"/>
  <c r="X41" i="3"/>
  <c r="X42" i="3"/>
  <c r="X43" i="3"/>
  <c r="X44" i="3"/>
  <c r="X45" i="3"/>
  <c r="X46" i="3"/>
  <c r="X47" i="3"/>
  <c r="X48" i="3"/>
  <c r="X49" i="3"/>
  <c r="X50" i="3"/>
  <c r="X51" i="3"/>
  <c r="X52" i="3"/>
  <c r="X25" i="3"/>
  <c r="X55" i="3"/>
  <c r="V15" i="3"/>
  <c r="D10" i="3"/>
  <c r="E10" i="3"/>
  <c r="U26" i="3"/>
  <c r="U27" i="3"/>
  <c r="U29" i="3"/>
  <c r="U30" i="3"/>
  <c r="U31" i="3"/>
  <c r="U32" i="3"/>
  <c r="U33" i="3"/>
  <c r="U34" i="3"/>
  <c r="U35" i="3"/>
  <c r="U36" i="3"/>
  <c r="U37" i="3"/>
  <c r="U38" i="3"/>
  <c r="U39" i="3"/>
  <c r="U40" i="3"/>
  <c r="U41" i="3"/>
  <c r="U42" i="3"/>
  <c r="U43" i="3"/>
  <c r="U44" i="3"/>
  <c r="U45" i="3"/>
  <c r="U46" i="3"/>
  <c r="U47" i="3"/>
  <c r="U48" i="3"/>
  <c r="U49" i="3"/>
  <c r="U50" i="3"/>
  <c r="U51" i="3"/>
  <c r="U52" i="3"/>
  <c r="U25" i="3"/>
  <c r="U55" i="3"/>
  <c r="S15" i="3"/>
  <c r="D9" i="3"/>
  <c r="E9" i="3"/>
  <c r="D8" i="3"/>
  <c r="E8" i="3"/>
  <c r="O26" i="3"/>
  <c r="O27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K30" i="3"/>
  <c r="M21" i="3"/>
  <c r="M20" i="3"/>
  <c r="H7" i="3"/>
  <c r="I7" i="3"/>
  <c r="G7" i="3"/>
  <c r="O25" i="3"/>
  <c r="O55" i="3"/>
  <c r="M15" i="3"/>
  <c r="D7" i="3"/>
  <c r="E7" i="3"/>
  <c r="B13" i="1"/>
  <c r="AE16" i="1"/>
  <c r="AE17" i="1"/>
  <c r="AE19" i="1"/>
  <c r="AE18" i="1"/>
  <c r="AE24" i="1"/>
  <c r="AF24" i="1"/>
  <c r="AE28" i="1"/>
  <c r="AF28" i="1"/>
  <c r="AE29" i="1"/>
  <c r="AF29" i="1"/>
  <c r="AE30" i="1"/>
  <c r="AF30" i="1"/>
  <c r="AE31" i="1"/>
  <c r="AF31" i="1"/>
  <c r="AE32" i="1"/>
  <c r="AF32" i="1"/>
  <c r="AE33" i="1"/>
  <c r="AF33" i="1"/>
  <c r="AE34" i="1"/>
  <c r="AF34" i="1"/>
  <c r="AE35" i="1"/>
  <c r="AF35" i="1"/>
  <c r="AE36" i="1"/>
  <c r="AF36" i="1"/>
  <c r="AE37" i="1"/>
  <c r="AF37" i="1"/>
  <c r="AE38" i="1"/>
  <c r="AF38" i="1"/>
  <c r="AE39" i="1"/>
  <c r="AF39" i="1"/>
  <c r="AE40" i="1"/>
  <c r="AF40" i="1"/>
  <c r="AE41" i="1"/>
  <c r="AF41" i="1"/>
  <c r="AE42" i="1"/>
  <c r="AF42" i="1"/>
  <c r="AE43" i="1"/>
  <c r="AF43" i="1"/>
  <c r="AE44" i="1"/>
  <c r="AF44" i="1"/>
  <c r="AE45" i="1"/>
  <c r="AF45" i="1"/>
  <c r="AE46" i="1"/>
  <c r="AF46" i="1"/>
  <c r="AE47" i="1"/>
  <c r="AF47" i="1"/>
  <c r="AE48" i="1"/>
  <c r="AF48" i="1"/>
  <c r="AE49" i="1"/>
  <c r="AF49" i="1"/>
  <c r="AE50" i="1"/>
  <c r="AF50" i="1"/>
  <c r="AE51" i="1"/>
  <c r="AF51" i="1"/>
  <c r="AE52" i="1"/>
  <c r="AF52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5" i="1"/>
  <c r="AE20" i="1"/>
  <c r="AE21" i="1"/>
  <c r="D13" i="1"/>
  <c r="E13" i="1"/>
  <c r="F13" i="1"/>
  <c r="G13" i="1"/>
  <c r="AG23" i="1"/>
  <c r="AG53" i="1"/>
  <c r="H13" i="1"/>
  <c r="AG24" i="1"/>
  <c r="AG54" i="1"/>
  <c r="I13" i="1"/>
  <c r="J13" i="1"/>
  <c r="B14" i="1"/>
  <c r="AH16" i="1"/>
  <c r="AH17" i="1"/>
  <c r="AH28" i="1"/>
  <c r="AI28" i="1"/>
  <c r="AH19" i="1"/>
  <c r="AH18" i="1"/>
  <c r="AH24" i="1"/>
  <c r="AI24" i="1"/>
  <c r="AH29" i="1"/>
  <c r="AI29" i="1"/>
  <c r="AH30" i="1"/>
  <c r="AI30" i="1"/>
  <c r="AH31" i="1"/>
  <c r="AI31" i="1"/>
  <c r="AH32" i="1"/>
  <c r="AI32" i="1"/>
  <c r="AH33" i="1"/>
  <c r="AI33" i="1"/>
  <c r="AH34" i="1"/>
  <c r="AI34" i="1"/>
  <c r="AH35" i="1"/>
  <c r="AI35" i="1"/>
  <c r="AH36" i="1"/>
  <c r="AI36" i="1"/>
  <c r="AH37" i="1"/>
  <c r="AI37" i="1"/>
  <c r="AH38" i="1"/>
  <c r="AI38" i="1"/>
  <c r="AH39" i="1"/>
  <c r="AI39" i="1"/>
  <c r="AH40" i="1"/>
  <c r="AI40" i="1"/>
  <c r="AH41" i="1"/>
  <c r="AI41" i="1"/>
  <c r="AH42" i="1"/>
  <c r="AI42" i="1"/>
  <c r="AH43" i="1"/>
  <c r="AI43" i="1"/>
  <c r="AH44" i="1"/>
  <c r="AI44" i="1"/>
  <c r="AH45" i="1"/>
  <c r="AI45" i="1"/>
  <c r="AH46" i="1"/>
  <c r="AI46" i="1"/>
  <c r="AH47" i="1"/>
  <c r="AI47" i="1"/>
  <c r="AH48" i="1"/>
  <c r="AI48" i="1"/>
  <c r="AH49" i="1"/>
  <c r="AI49" i="1"/>
  <c r="AH50" i="1"/>
  <c r="AI50" i="1"/>
  <c r="AH51" i="1"/>
  <c r="AI51" i="1"/>
  <c r="AH52" i="1"/>
  <c r="AI52" i="1"/>
  <c r="AJ28" i="1"/>
  <c r="AJ24" i="1"/>
  <c r="AJ54" i="1"/>
  <c r="I14" i="1"/>
  <c r="AJ23" i="1"/>
  <c r="AJ53" i="1"/>
  <c r="H14" i="1"/>
  <c r="J14" i="1"/>
  <c r="D14" i="1"/>
  <c r="E14" i="1"/>
  <c r="AJ26" i="1"/>
  <c r="AJ27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25" i="1"/>
  <c r="AJ55" i="1"/>
  <c r="AH20" i="1"/>
  <c r="F14" i="1"/>
  <c r="G14" i="1"/>
  <c r="AH21" i="1"/>
  <c r="B12" i="1"/>
  <c r="AB16" i="1"/>
  <c r="AB17" i="1"/>
  <c r="AB19" i="1"/>
  <c r="AB18" i="1"/>
  <c r="AB24" i="1"/>
  <c r="AC24" i="1"/>
  <c r="AB28" i="1"/>
  <c r="AC28" i="1"/>
  <c r="AB29" i="1"/>
  <c r="AC29" i="1"/>
  <c r="AB30" i="1"/>
  <c r="AC30" i="1"/>
  <c r="AB31" i="1"/>
  <c r="AC31" i="1"/>
  <c r="AB32" i="1"/>
  <c r="AC32" i="1"/>
  <c r="AB33" i="1"/>
  <c r="AC33" i="1"/>
  <c r="AB34" i="1"/>
  <c r="AC34" i="1"/>
  <c r="AB35" i="1"/>
  <c r="AC35" i="1"/>
  <c r="AB36" i="1"/>
  <c r="AC36" i="1"/>
  <c r="AB37" i="1"/>
  <c r="AC37" i="1"/>
  <c r="AB38" i="1"/>
  <c r="AC38" i="1"/>
  <c r="AB39" i="1"/>
  <c r="AC39" i="1"/>
  <c r="AB40" i="1"/>
  <c r="AC40" i="1"/>
  <c r="AB41" i="1"/>
  <c r="AC41" i="1"/>
  <c r="AB42" i="1"/>
  <c r="AC42" i="1"/>
  <c r="AB43" i="1"/>
  <c r="AC43" i="1"/>
  <c r="AB44" i="1"/>
  <c r="AC44" i="1"/>
  <c r="AB45" i="1"/>
  <c r="AC45" i="1"/>
  <c r="AB46" i="1"/>
  <c r="AC46" i="1"/>
  <c r="AB47" i="1"/>
  <c r="AC47" i="1"/>
  <c r="AB48" i="1"/>
  <c r="AC48" i="1"/>
  <c r="AB49" i="1"/>
  <c r="AC49" i="1"/>
  <c r="AB50" i="1"/>
  <c r="AC50" i="1"/>
  <c r="AB51" i="1"/>
  <c r="AC51" i="1"/>
  <c r="AB52" i="1"/>
  <c r="AC52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5" i="1"/>
  <c r="AB20" i="1"/>
  <c r="AB21" i="1"/>
  <c r="D12" i="1"/>
  <c r="E12" i="1"/>
  <c r="F12" i="1"/>
  <c r="G12" i="1"/>
  <c r="AD23" i="1"/>
  <c r="AD53" i="1"/>
  <c r="H12" i="1"/>
  <c r="AD24" i="1"/>
  <c r="AD54" i="1"/>
  <c r="I12" i="1"/>
  <c r="J12" i="1"/>
</calcChain>
</file>

<file path=xl/sharedStrings.xml><?xml version="1.0" encoding="utf-8"?>
<sst xmlns="http://schemas.openxmlformats.org/spreadsheetml/2006/main" count="450" uniqueCount="92">
  <si>
    <t>Element</t>
  </si>
  <si>
    <t>Z</t>
  </si>
  <si>
    <t>Ξ_Fe</t>
  </si>
  <si>
    <t>Ξ_O</t>
  </si>
  <si>
    <t>H</t>
  </si>
  <si>
    <t>O</t>
  </si>
  <si>
    <t>Na</t>
  </si>
  <si>
    <t>Mg</t>
  </si>
  <si>
    <t>Al</t>
  </si>
  <si>
    <t>Si</t>
  </si>
  <si>
    <t>P</t>
  </si>
  <si>
    <t>S</t>
  </si>
  <si>
    <t>K</t>
  </si>
  <si>
    <t>Ca</t>
  </si>
  <si>
    <t>Sc</t>
  </si>
  <si>
    <t>Ti</t>
  </si>
  <si>
    <t>V</t>
  </si>
  <si>
    <t>Cr</t>
  </si>
  <si>
    <t>Mn</t>
  </si>
  <si>
    <t>Fe</t>
  </si>
  <si>
    <t>Co</t>
  </si>
  <si>
    <t>Ni</t>
  </si>
  <si>
    <t>Cu</t>
  </si>
  <si>
    <t>Zn</t>
  </si>
  <si>
    <t>He</t>
  </si>
  <si>
    <t>C</t>
  </si>
  <si>
    <t>N</t>
  </si>
  <si>
    <t>Li</t>
  </si>
  <si>
    <t>Be</t>
  </si>
  <si>
    <t>F</t>
  </si>
  <si>
    <t>Ne</t>
  </si>
  <si>
    <t>Cl</t>
  </si>
  <si>
    <t>Ar</t>
  </si>
  <si>
    <t>Zeta_Fe</t>
  </si>
  <si>
    <t>B</t>
  </si>
  <si>
    <t>he</t>
  </si>
  <si>
    <t>Const</t>
  </si>
  <si>
    <t>Derived</t>
  </si>
  <si>
    <t>Input:</t>
  </si>
  <si>
    <t>Ξ_Z</t>
  </si>
  <si>
    <t>mass</t>
  </si>
  <si>
    <t>Mass per atom</t>
  </si>
  <si>
    <t>By Number</t>
  </si>
  <si>
    <t>By Mass</t>
  </si>
  <si>
    <t>Input</t>
  </si>
  <si>
    <t>per Atom</t>
  </si>
  <si>
    <t>GC Mass Fraction</t>
  </si>
  <si>
    <t>X</t>
  </si>
  <si>
    <t>Y</t>
  </si>
  <si>
    <t>mass fractions</t>
  </si>
  <si>
    <t>Z/Z0</t>
  </si>
  <si>
    <t>Zeta_O</t>
  </si>
  <si>
    <t>Log(Fe/H)</t>
  </si>
  <si>
    <t>O/H</t>
  </si>
  <si>
    <t>Log(O/H)</t>
  </si>
  <si>
    <t>log(Z/Z0)</t>
  </si>
  <si>
    <t>Log Number Fractions</t>
  </si>
  <si>
    <t>Fe/H</t>
  </si>
  <si>
    <t>Z:</t>
  </si>
  <si>
    <t>Lower Fe Break</t>
  </si>
  <si>
    <t>Upper Fe Break</t>
  </si>
  <si>
    <t>Breaks:</t>
  </si>
  <si>
    <t>^Input^</t>
  </si>
  <si>
    <t>Includes effect of He/C/N</t>
  </si>
  <si>
    <t>Lower O Break</t>
  </si>
  <si>
    <t>Upper O Break</t>
  </si>
  <si>
    <t>Enter O/H linear values:</t>
  </si>
  <si>
    <t>Lower Z Break</t>
  </si>
  <si>
    <t>UpperZ Break</t>
  </si>
  <si>
    <t>Log(Z/Z0)</t>
  </si>
  <si>
    <t>log(Fe/H0)</t>
  </si>
  <si>
    <t>Actual Z/Z0</t>
  </si>
  <si>
    <t>Excludes effect of He/C/N</t>
  </si>
  <si>
    <t>Approx Z/Z0</t>
  </si>
  <si>
    <t xml:space="preserve"> Z/Z0</t>
  </si>
  <si>
    <t>GC Absolute</t>
  </si>
  <si>
    <t>Galactic Concordance Abundances</t>
  </si>
  <si>
    <t>Enter Fe/H linear values:</t>
  </si>
  <si>
    <t>Based on Zeta_O</t>
  </si>
  <si>
    <t>Enter Z/Z0 linear values:</t>
  </si>
  <si>
    <t>Low Abuundance Limit for &lt;Xi(Z)_0,Fe&gt;</t>
  </si>
  <si>
    <t>Fe derived Xi(0)_Z</t>
  </si>
  <si>
    <t>O derived Xi(0)_Z</t>
  </si>
  <si>
    <t>&lt; input</t>
  </si>
  <si>
    <t>He Slope</t>
  </si>
  <si>
    <t>&lt;mean</t>
  </si>
  <si>
    <t>&lt;actual</t>
  </si>
  <si>
    <t>Special:</t>
  </si>
  <si>
    <t>He = -1.0783+LOG(1+slope*zeta_0)</t>
  </si>
  <si>
    <t>Based on logZeta_O</t>
  </si>
  <si>
    <t>Galactic Concordance Abundances v2.6.3</t>
  </si>
  <si>
    <t>rev. 2.11.16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</si>
</sst>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"/>
    <numFmt numFmtId="166" formatCode="0.000E+00"/>
    <numFmt numFmtId="167" formatCode="0.00000"/>
  </numFmts>
  <fonts count="1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6"/>
      <color theme="1"/>
      <name val="Calibri"/>
      <scheme val="minor"/>
    </font>
    <font>
      <b/>
      <sz val="14"/>
      <color theme="1"/>
      <name val="Calibri"/>
      <scheme val="minor"/>
    </font>
    <font>
      <b/>
      <i/>
      <sz val="12"/>
      <color theme="1"/>
      <name val="Calibri"/>
      <scheme val="minor"/>
    </font>
    <font>
      <b/>
      <sz val="18"/>
      <color theme="1"/>
      <name val="Calibri"/>
      <scheme val="minor"/>
    </font>
    <font>
      <sz val="16"/>
      <color theme="1"/>
      <name val="Calibri"/>
      <scheme val="minor"/>
    </font>
    <font>
      <i/>
      <sz val="12"/>
      <name val="Calibri"/>
      <scheme val="minor"/>
    </font>
    <font>
      <i/>
      <sz val="12"/>
      <color theme="1"/>
      <name val="Calibri"/>
      <scheme val="minor"/>
    </font>
    <font>
      <b/>
      <sz val="12"/>
      <color rgb="FF00000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CA8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88"/>
        <bgColor indexed="64"/>
      </patternFill>
    </fill>
    <fill>
      <patternFill patternType="solid">
        <fgColor rgb="FFFFFFC0"/>
        <bgColor indexed="64"/>
      </patternFill>
    </fill>
    <fill>
      <patternFill patternType="solid">
        <fgColor rgb="FFFFFF87"/>
        <bgColor indexed="64"/>
      </patternFill>
    </fill>
    <fill>
      <patternFill patternType="solid">
        <fgColor rgb="FFFFFF55"/>
        <bgColor indexed="64"/>
      </patternFill>
    </fill>
    <fill>
      <patternFill patternType="solid">
        <fgColor rgb="FFFFFF56"/>
        <bgColor indexed="64"/>
      </patternFill>
    </fill>
    <fill>
      <patternFill patternType="solid">
        <fgColor rgb="FFFFFFA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63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35">
    <xf numFmtId="0" fontId="0" fillId="0" borderId="0" xfId="0"/>
    <xf numFmtId="164" fontId="0" fillId="0" borderId="0" xfId="0" applyNumberFormat="1"/>
    <xf numFmtId="164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right"/>
    </xf>
    <xf numFmtId="164" fontId="5" fillId="0" borderId="7" xfId="0" applyNumberFormat="1" applyFon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0" xfId="0" applyBorder="1" applyAlignment="1">
      <alignment horizontal="right"/>
    </xf>
    <xf numFmtId="164" fontId="5" fillId="0" borderId="9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9" xfId="0" applyNumberFormat="1" applyBorder="1" applyAlignment="1">
      <alignment horizontal="center"/>
    </xf>
    <xf numFmtId="164" fontId="1" fillId="3" borderId="10" xfId="0" applyNumberFormat="1" applyFont="1" applyFill="1" applyBorder="1" applyAlignment="1">
      <alignment horizontal="center"/>
    </xf>
    <xf numFmtId="164" fontId="1" fillId="3" borderId="11" xfId="0" applyNumberFormat="1" applyFont="1" applyFill="1" applyBorder="1" applyAlignment="1">
      <alignment horizontal="center"/>
    </xf>
    <xf numFmtId="164" fontId="1" fillId="3" borderId="12" xfId="0" applyNumberFormat="1" applyFont="1" applyFill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1" fillId="3" borderId="5" xfId="0" applyNumberFormat="1" applyFont="1" applyFill="1" applyBorder="1" applyAlignment="1">
      <alignment horizontal="center"/>
    </xf>
    <xf numFmtId="164" fontId="1" fillId="3" borderId="6" xfId="0" applyNumberFormat="1" applyFont="1" applyFill="1" applyBorder="1" applyAlignment="1">
      <alignment horizontal="center"/>
    </xf>
    <xf numFmtId="164" fontId="1" fillId="3" borderId="7" xfId="0" applyNumberFormat="1" applyFont="1" applyFill="1" applyBorder="1" applyAlignment="1">
      <alignment horizontal="center"/>
    </xf>
    <xf numFmtId="164" fontId="0" fillId="3" borderId="5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164" fontId="1" fillId="5" borderId="11" xfId="0" applyNumberFormat="1" applyFont="1" applyFill="1" applyBorder="1" applyAlignment="1">
      <alignment horizontal="center"/>
    </xf>
    <xf numFmtId="164" fontId="1" fillId="5" borderId="12" xfId="0" applyNumberFormat="1" applyFont="1" applyFill="1" applyBorder="1" applyAlignment="1">
      <alignment horizontal="center"/>
    </xf>
    <xf numFmtId="164" fontId="1" fillId="5" borderId="6" xfId="0" applyNumberFormat="1" applyFont="1" applyFill="1" applyBorder="1" applyAlignment="1">
      <alignment horizontal="center"/>
    </xf>
    <xf numFmtId="164" fontId="1" fillId="5" borderId="7" xfId="0" applyNumberFormat="1" applyFont="1" applyFill="1" applyBorder="1" applyAlignment="1">
      <alignment horizontal="center"/>
    </xf>
    <xf numFmtId="164" fontId="0" fillId="5" borderId="5" xfId="0" applyNumberFormat="1" applyFill="1" applyBorder="1" applyAlignment="1">
      <alignment horizontal="center"/>
    </xf>
    <xf numFmtId="164" fontId="1" fillId="5" borderId="1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0" xfId="0" applyFont="1" applyBorder="1" applyAlignment="1">
      <alignment horizontal="right"/>
    </xf>
    <xf numFmtId="2" fontId="0" fillId="0" borderId="0" xfId="0" applyNumberFormat="1" applyBorder="1" applyAlignment="1">
      <alignment horizontal="center"/>
    </xf>
    <xf numFmtId="164" fontId="0" fillId="0" borderId="0" xfId="0" applyNumberFormat="1" applyBorder="1"/>
    <xf numFmtId="164" fontId="0" fillId="3" borderId="8" xfId="0" applyNumberFormat="1" applyFill="1" applyBorder="1" applyAlignment="1">
      <alignment horizontal="center"/>
    </xf>
    <xf numFmtId="164" fontId="0" fillId="3" borderId="10" xfId="0" applyNumberFormat="1" applyFill="1" applyBorder="1" applyAlignment="1">
      <alignment horizontal="center"/>
    </xf>
    <xf numFmtId="0" fontId="0" fillId="7" borderId="2" xfId="0" applyFill="1" applyBorder="1" applyAlignment="1">
      <alignment horizontal="right"/>
    </xf>
    <xf numFmtId="0" fontId="0" fillId="13" borderId="4" xfId="0" applyFill="1" applyBorder="1" applyAlignment="1">
      <alignment horizontal="right"/>
    </xf>
    <xf numFmtId="0" fontId="0" fillId="7" borderId="4" xfId="0" applyFill="1" applyBorder="1" applyAlignment="1">
      <alignment horizontal="right"/>
    </xf>
    <xf numFmtId="0" fontId="0" fillId="10" borderId="2" xfId="0" applyFill="1" applyBorder="1" applyAlignment="1">
      <alignment horizontal="right"/>
    </xf>
    <xf numFmtId="0" fontId="0" fillId="10" borderId="4" xfId="0" applyFill="1" applyBorder="1" applyAlignment="1">
      <alignment horizontal="right"/>
    </xf>
    <xf numFmtId="0" fontId="0" fillId="3" borderId="7" xfId="0" applyFill="1" applyBorder="1"/>
    <xf numFmtId="0" fontId="0" fillId="3" borderId="11" xfId="0" applyFill="1" applyBorder="1"/>
    <xf numFmtId="0" fontId="0" fillId="3" borderId="12" xfId="0" applyFill="1" applyBorder="1"/>
    <xf numFmtId="164" fontId="1" fillId="6" borderId="6" xfId="0" applyNumberFormat="1" applyFont="1" applyFill="1" applyBorder="1" applyAlignment="1">
      <alignment horizontal="center"/>
    </xf>
    <xf numFmtId="164" fontId="1" fillId="6" borderId="7" xfId="0" applyNumberFormat="1" applyFont="1" applyFill="1" applyBorder="1" applyAlignment="1">
      <alignment horizontal="center"/>
    </xf>
    <xf numFmtId="164" fontId="1" fillId="6" borderId="11" xfId="0" applyNumberFormat="1" applyFont="1" applyFill="1" applyBorder="1" applyAlignment="1">
      <alignment horizontal="center"/>
    </xf>
    <xf numFmtId="164" fontId="0" fillId="6" borderId="11" xfId="0" applyNumberFormat="1" applyFill="1" applyBorder="1" applyAlignment="1">
      <alignment horizontal="center"/>
    </xf>
    <xf numFmtId="0" fontId="0" fillId="6" borderId="11" xfId="0" applyFill="1" applyBorder="1"/>
    <xf numFmtId="0" fontId="0" fillId="6" borderId="12" xfId="0" applyFill="1" applyBorder="1"/>
    <xf numFmtId="0" fontId="0" fillId="13" borderId="2" xfId="0" applyFill="1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166" fontId="0" fillId="0" borderId="3" xfId="0" applyNumberFormat="1" applyBorder="1" applyAlignment="1">
      <alignment horizontal="center"/>
    </xf>
    <xf numFmtId="166" fontId="0" fillId="0" borderId="4" xfId="0" applyNumberFormat="1" applyBorder="1" applyAlignment="1">
      <alignment horizontal="center"/>
    </xf>
    <xf numFmtId="164" fontId="0" fillId="3" borderId="13" xfId="0" applyNumberFormat="1" applyFill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7" fillId="0" borderId="0" xfId="0" applyFont="1" applyBorder="1"/>
    <xf numFmtId="164" fontId="0" fillId="6" borderId="8" xfId="0" applyNumberFormat="1" applyFill="1" applyBorder="1" applyAlignment="1">
      <alignment horizontal="center"/>
    </xf>
    <xf numFmtId="164" fontId="0" fillId="7" borderId="9" xfId="0" applyNumberFormat="1" applyFill="1" applyBorder="1" applyAlignment="1">
      <alignment horizontal="center"/>
    </xf>
    <xf numFmtId="164" fontId="0" fillId="10" borderId="9" xfId="0" applyNumberFormat="1" applyFill="1" applyBorder="1" applyAlignment="1">
      <alignment horizontal="center"/>
    </xf>
    <xf numFmtId="164" fontId="0" fillId="12" borderId="8" xfId="0" applyNumberFormat="1" applyFill="1" applyBorder="1" applyAlignment="1">
      <alignment horizontal="center"/>
    </xf>
    <xf numFmtId="164" fontId="0" fillId="6" borderId="10" xfId="0" applyNumberFormat="1" applyFill="1" applyBorder="1" applyAlignment="1">
      <alignment horizontal="center"/>
    </xf>
    <xf numFmtId="164" fontId="0" fillId="7" borderId="12" xfId="0" applyNumberFormat="1" applyFill="1" applyBorder="1" applyAlignment="1">
      <alignment horizontal="center"/>
    </xf>
    <xf numFmtId="164" fontId="0" fillId="10" borderId="12" xfId="0" applyNumberFormat="1" applyFill="1" applyBorder="1" applyAlignment="1">
      <alignment horizontal="center"/>
    </xf>
    <xf numFmtId="164" fontId="0" fillId="12" borderId="10" xfId="0" applyNumberFormat="1" applyFill="1" applyBorder="1" applyAlignment="1">
      <alignment horizontal="center"/>
    </xf>
    <xf numFmtId="164" fontId="0" fillId="13" borderId="14" xfId="0" applyNumberForma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164" fontId="1" fillId="8" borderId="13" xfId="0" applyNumberFormat="1" applyFont="1" applyFill="1" applyBorder="1" applyAlignment="1">
      <alignment horizontal="center"/>
    </xf>
    <xf numFmtId="164" fontId="1" fillId="8" borderId="14" xfId="0" applyNumberFormat="1" applyFont="1" applyFill="1" applyBorder="1" applyAlignment="1">
      <alignment horizontal="center"/>
    </xf>
    <xf numFmtId="164" fontId="1" fillId="9" borderId="13" xfId="0" applyNumberFormat="1" applyFont="1" applyFill="1" applyBorder="1" applyAlignment="1">
      <alignment horizontal="center"/>
    </xf>
    <xf numFmtId="164" fontId="1" fillId="9" borderId="14" xfId="0" applyNumberFormat="1" applyFont="1" applyFill="1" applyBorder="1" applyAlignment="1">
      <alignment horizontal="center"/>
    </xf>
    <xf numFmtId="0" fontId="1" fillId="8" borderId="13" xfId="0" applyFont="1" applyFill="1" applyBorder="1" applyAlignment="1">
      <alignment horizontal="center"/>
    </xf>
    <xf numFmtId="0" fontId="1" fillId="8" borderId="14" xfId="0" applyFont="1" applyFill="1" applyBorder="1" applyAlignment="1">
      <alignment horizontal="center"/>
    </xf>
    <xf numFmtId="0" fontId="1" fillId="9" borderId="13" xfId="0" applyFont="1" applyFill="1" applyBorder="1" applyAlignment="1">
      <alignment horizontal="center"/>
    </xf>
    <xf numFmtId="0" fontId="1" fillId="9" borderId="14" xfId="0" applyFont="1" applyFill="1" applyBorder="1" applyAlignment="1">
      <alignment horizontal="center"/>
    </xf>
    <xf numFmtId="164" fontId="0" fillId="6" borderId="13" xfId="0" applyNumberFormat="1" applyFill="1" applyBorder="1" applyAlignment="1">
      <alignment horizontal="center"/>
    </xf>
    <xf numFmtId="164" fontId="0" fillId="7" borderId="14" xfId="0" applyNumberFormat="1" applyFill="1" applyBorder="1" applyAlignment="1">
      <alignment horizontal="center"/>
    </xf>
    <xf numFmtId="164" fontId="0" fillId="10" borderId="14" xfId="0" applyNumberFormat="1" applyFill="1" applyBorder="1" applyAlignment="1">
      <alignment horizontal="center"/>
    </xf>
    <xf numFmtId="164" fontId="0" fillId="12" borderId="13" xfId="0" applyNumberFormat="1" applyFill="1" applyBorder="1" applyAlignment="1">
      <alignment horizontal="center"/>
    </xf>
    <xf numFmtId="164" fontId="0" fillId="13" borderId="9" xfId="0" applyNumberFormat="1" applyFill="1" applyBorder="1" applyAlignment="1">
      <alignment horizontal="center"/>
    </xf>
    <xf numFmtId="164" fontId="0" fillId="13" borderId="12" xfId="0" applyNumberFormat="1" applyFill="1" applyBorder="1" applyAlignment="1">
      <alignment horizontal="center"/>
    </xf>
    <xf numFmtId="0" fontId="1" fillId="14" borderId="13" xfId="0" applyFont="1" applyFill="1" applyBorder="1" applyAlignment="1">
      <alignment horizontal="center"/>
    </xf>
    <xf numFmtId="0" fontId="1" fillId="14" borderId="14" xfId="0" applyFont="1" applyFill="1" applyBorder="1" applyAlignment="1">
      <alignment horizontal="center"/>
    </xf>
    <xf numFmtId="164" fontId="1" fillId="15" borderId="13" xfId="0" applyNumberFormat="1" applyFont="1" applyFill="1" applyBorder="1" applyAlignment="1">
      <alignment horizontal="center"/>
    </xf>
    <xf numFmtId="164" fontId="1" fillId="15" borderId="14" xfId="0" applyNumberFormat="1" applyFont="1" applyFill="1" applyBorder="1" applyAlignment="1">
      <alignment horizontal="center"/>
    </xf>
    <xf numFmtId="164" fontId="1" fillId="6" borderId="5" xfId="0" applyNumberFormat="1" applyFont="1" applyFill="1" applyBorder="1" applyAlignment="1">
      <alignment horizontal="center"/>
    </xf>
    <xf numFmtId="164" fontId="1" fillId="6" borderId="10" xfId="0" applyNumberFormat="1" applyFont="1" applyFill="1" applyBorder="1" applyAlignment="1">
      <alignment horizontal="center"/>
    </xf>
    <xf numFmtId="164" fontId="0" fillId="6" borderId="12" xfId="0" applyNumberFormat="1" applyFill="1" applyBorder="1" applyAlignment="1">
      <alignment horizontal="center"/>
    </xf>
    <xf numFmtId="0" fontId="0" fillId="0" borderId="11" xfId="0" applyBorder="1" applyAlignment="1">
      <alignment horizontal="right"/>
    </xf>
    <xf numFmtId="164" fontId="5" fillId="0" borderId="12" xfId="0" applyNumberFormat="1" applyFont="1" applyBorder="1" applyAlignment="1">
      <alignment horizontal="center"/>
    </xf>
    <xf numFmtId="164" fontId="1" fillId="6" borderId="12" xfId="0" applyNumberFormat="1" applyFont="1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165" fontId="0" fillId="6" borderId="3" xfId="0" applyNumberFormat="1" applyFill="1" applyBorder="1" applyAlignment="1">
      <alignment horizontal="center"/>
    </xf>
    <xf numFmtId="165" fontId="0" fillId="3" borderId="3" xfId="0" applyNumberFormat="1" applyFill="1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1" xfId="0" applyBorder="1" applyAlignment="1">
      <alignment horizontal="right" wrapText="1"/>
    </xf>
    <xf numFmtId="0" fontId="0" fillId="0" borderId="14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horizontal="right" wrapText="1"/>
    </xf>
    <xf numFmtId="164" fontId="1" fillId="0" borderId="13" xfId="0" applyNumberFormat="1" applyFont="1" applyFill="1" applyBorder="1" applyAlignment="1">
      <alignment horizontal="center" wrapText="1"/>
    </xf>
    <xf numFmtId="164" fontId="1" fillId="0" borderId="15" xfId="0" applyNumberFormat="1" applyFont="1" applyFill="1" applyBorder="1" applyAlignment="1">
      <alignment horizontal="center" wrapText="1"/>
    </xf>
    <xf numFmtId="164" fontId="1" fillId="0" borderId="14" xfId="0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6" borderId="17" xfId="0" applyFill="1" applyBorder="1" applyAlignment="1">
      <alignment horizontal="right"/>
    </xf>
    <xf numFmtId="0" fontId="0" fillId="6" borderId="18" xfId="0" applyFill="1" applyBorder="1" applyAlignment="1">
      <alignment horizontal="center"/>
    </xf>
    <xf numFmtId="166" fontId="0" fillId="6" borderId="18" xfId="0" applyNumberFormat="1" applyFill="1" applyBorder="1" applyAlignment="1">
      <alignment horizontal="center"/>
    </xf>
    <xf numFmtId="166" fontId="0" fillId="6" borderId="19" xfId="0" applyNumberFormat="1" applyFill="1" applyBorder="1" applyAlignment="1">
      <alignment horizontal="center"/>
    </xf>
    <xf numFmtId="166" fontId="0" fillId="0" borderId="0" xfId="0" applyNumberFormat="1" applyFill="1" applyBorder="1" applyAlignment="1">
      <alignment horizontal="center"/>
    </xf>
    <xf numFmtId="164" fontId="0" fillId="6" borderId="2" xfId="0" applyNumberFormat="1" applyFill="1" applyBorder="1" applyAlignment="1">
      <alignment horizontal="right"/>
    </xf>
    <xf numFmtId="164" fontId="0" fillId="6" borderId="5" xfId="0" applyNumberFormat="1" applyFill="1" applyBorder="1" applyAlignment="1">
      <alignment horizontal="center"/>
    </xf>
    <xf numFmtId="164" fontId="0" fillId="6" borderId="4" xfId="0" applyNumberFormat="1" applyFill="1" applyBorder="1" applyAlignment="1">
      <alignment horizontal="right"/>
    </xf>
    <xf numFmtId="0" fontId="0" fillId="11" borderId="2" xfId="0" applyFill="1" applyBorder="1" applyAlignment="1">
      <alignment horizontal="right"/>
    </xf>
    <xf numFmtId="164" fontId="1" fillId="11" borderId="5" xfId="0" applyNumberFormat="1" applyFont="1" applyFill="1" applyBorder="1" applyAlignment="1">
      <alignment horizontal="center"/>
    </xf>
    <xf numFmtId="164" fontId="1" fillId="11" borderId="6" xfId="0" applyNumberFormat="1" applyFont="1" applyFill="1" applyBorder="1" applyAlignment="1">
      <alignment horizontal="center"/>
    </xf>
    <xf numFmtId="164" fontId="1" fillId="11" borderId="7" xfId="0" applyNumberFormat="1" applyFont="1" applyFill="1" applyBorder="1" applyAlignment="1">
      <alignment horizontal="center"/>
    </xf>
    <xf numFmtId="0" fontId="0" fillId="11" borderId="4" xfId="0" applyFill="1" applyBorder="1" applyAlignment="1">
      <alignment horizontal="right"/>
    </xf>
    <xf numFmtId="164" fontId="1" fillId="11" borderId="10" xfId="0" applyNumberFormat="1" applyFont="1" applyFill="1" applyBorder="1" applyAlignment="1">
      <alignment horizontal="center"/>
    </xf>
    <xf numFmtId="164" fontId="0" fillId="11" borderId="11" xfId="0" applyNumberFormat="1" applyFill="1" applyBorder="1" applyAlignment="1">
      <alignment horizontal="center"/>
    </xf>
    <xf numFmtId="164" fontId="0" fillId="11" borderId="12" xfId="0" applyNumberFormat="1" applyFill="1" applyBorder="1" applyAlignment="1">
      <alignment horizontal="center"/>
    </xf>
    <xf numFmtId="164" fontId="1" fillId="11" borderId="11" xfId="0" applyNumberFormat="1" applyFont="1" applyFill="1" applyBorder="1" applyAlignment="1">
      <alignment horizontal="center"/>
    </xf>
    <xf numFmtId="164" fontId="1" fillId="11" borderId="12" xfId="0" applyNumberFormat="1" applyFont="1" applyFill="1" applyBorder="1" applyAlignment="1">
      <alignment horizontal="center"/>
    </xf>
    <xf numFmtId="0" fontId="0" fillId="11" borderId="11" xfId="0" applyFill="1" applyBorder="1"/>
    <xf numFmtId="0" fontId="0" fillId="11" borderId="12" xfId="0" applyFill="1" applyBorder="1"/>
    <xf numFmtId="164" fontId="0" fillId="3" borderId="6" xfId="0" applyNumberFormat="1" applyFill="1" applyBorder="1"/>
    <xf numFmtId="164" fontId="0" fillId="3" borderId="11" xfId="0" applyNumberFormat="1" applyFill="1" applyBorder="1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 wrapText="1"/>
    </xf>
    <xf numFmtId="0" fontId="0" fillId="0" borderId="3" xfId="0" applyFill="1" applyBorder="1" applyAlignment="1">
      <alignment horizontal="right"/>
    </xf>
    <xf numFmtId="165" fontId="0" fillId="11" borderId="3" xfId="0" applyNumberFormat="1" applyFill="1" applyBorder="1" applyAlignment="1">
      <alignment horizontal="center"/>
    </xf>
    <xf numFmtId="165" fontId="0" fillId="0" borderId="0" xfId="0" applyNumberFormat="1" applyBorder="1"/>
    <xf numFmtId="164" fontId="0" fillId="3" borderId="3" xfId="0" applyNumberFormat="1" applyFill="1" applyBorder="1" applyAlignment="1">
      <alignment horizontal="center"/>
    </xf>
    <xf numFmtId="164" fontId="0" fillId="6" borderId="3" xfId="0" applyNumberFormat="1" applyFill="1" applyBorder="1" applyAlignment="1">
      <alignment horizontal="center"/>
    </xf>
    <xf numFmtId="164" fontId="0" fillId="6" borderId="16" xfId="0" applyNumberFormat="1" applyFill="1" applyBorder="1" applyAlignment="1">
      <alignment horizontal="center"/>
    </xf>
    <xf numFmtId="166" fontId="0" fillId="0" borderId="8" xfId="0" applyNumberFormat="1" applyBorder="1" applyAlignment="1">
      <alignment horizontal="center"/>
    </xf>
    <xf numFmtId="165" fontId="0" fillId="4" borderId="1" xfId="0" applyNumberFormat="1" applyFill="1" applyBorder="1" applyAlignment="1">
      <alignment horizontal="center"/>
    </xf>
    <xf numFmtId="0" fontId="8" fillId="0" borderId="13" xfId="0" applyFont="1" applyBorder="1" applyAlignment="1"/>
    <xf numFmtId="0" fontId="8" fillId="0" borderId="15" xfId="0" applyFont="1" applyBorder="1" applyAlignment="1"/>
    <xf numFmtId="0" fontId="8" fillId="0" borderId="14" xfId="0" applyFont="1" applyBorder="1" applyAlignment="1"/>
    <xf numFmtId="0" fontId="1" fillId="4" borderId="0" xfId="0" applyFont="1" applyFill="1" applyBorder="1"/>
    <xf numFmtId="164" fontId="0" fillId="4" borderId="0" xfId="0" applyNumberFormat="1" applyFill="1" applyBorder="1" applyAlignment="1">
      <alignment horizontal="center"/>
    </xf>
    <xf numFmtId="165" fontId="0" fillId="4" borderId="0" xfId="0" applyNumberFormat="1" applyFill="1" applyBorder="1" applyAlignment="1">
      <alignment horizontal="center"/>
    </xf>
    <xf numFmtId="165" fontId="6" fillId="16" borderId="3" xfId="0" applyNumberFormat="1" applyFont="1" applyFill="1" applyBorder="1" applyAlignment="1">
      <alignment horizontal="center"/>
    </xf>
    <xf numFmtId="165" fontId="6" fillId="4" borderId="1" xfId="0" applyNumberFormat="1" applyFont="1" applyFill="1" applyBorder="1" applyAlignment="1">
      <alignment horizontal="center"/>
    </xf>
    <xf numFmtId="0" fontId="0" fillId="0" borderId="21" xfId="0" applyBorder="1" applyAlignment="1">
      <alignment horizontal="right"/>
    </xf>
    <xf numFmtId="164" fontId="0" fillId="4" borderId="18" xfId="0" applyNumberFormat="1" applyFill="1" applyBorder="1" applyAlignment="1">
      <alignment horizontal="center"/>
    </xf>
    <xf numFmtId="165" fontId="0" fillId="4" borderId="18" xfId="0" applyNumberFormat="1" applyFill="1" applyBorder="1" applyAlignment="1">
      <alignment horizontal="center"/>
    </xf>
    <xf numFmtId="165" fontId="0" fillId="4" borderId="20" xfId="0" applyNumberFormat="1" applyFill="1" applyBorder="1" applyAlignment="1">
      <alignment horizontal="center"/>
    </xf>
    <xf numFmtId="165" fontId="0" fillId="2" borderId="8" xfId="0" applyNumberFormat="1" applyFill="1" applyBorder="1" applyAlignment="1">
      <alignment horizontal="center"/>
    </xf>
    <xf numFmtId="165" fontId="0" fillId="2" borderId="10" xfId="0" applyNumberFormat="1" applyFill="1" applyBorder="1" applyAlignment="1">
      <alignment horizontal="center"/>
    </xf>
    <xf numFmtId="0" fontId="9" fillId="0" borderId="0" xfId="0" applyFont="1" applyAlignment="1">
      <alignment horizontal="right"/>
    </xf>
    <xf numFmtId="0" fontId="9" fillId="0" borderId="0" xfId="0" applyFont="1"/>
    <xf numFmtId="164" fontId="9" fillId="3" borderId="8" xfId="0" applyNumberFormat="1" applyFont="1" applyFill="1" applyBorder="1" applyAlignment="1">
      <alignment horizontal="center"/>
    </xf>
    <xf numFmtId="166" fontId="9" fillId="3" borderId="0" xfId="0" applyNumberFormat="1" applyFont="1" applyFill="1" applyBorder="1" applyAlignment="1">
      <alignment horizontal="center"/>
    </xf>
    <xf numFmtId="166" fontId="9" fillId="3" borderId="9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4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4" fontId="0" fillId="0" borderId="14" xfId="0" applyNumberFormat="1" applyBorder="1"/>
    <xf numFmtId="164" fontId="0" fillId="6" borderId="1" xfId="0" applyNumberFormat="1" applyFill="1" applyBorder="1" applyAlignment="1">
      <alignment horizontal="center"/>
    </xf>
    <xf numFmtId="164" fontId="0" fillId="3" borderId="7" xfId="0" applyNumberFormat="1" applyFill="1" applyBorder="1"/>
    <xf numFmtId="0" fontId="1" fillId="0" borderId="14" xfId="0" applyFont="1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1" fillId="0" borderId="13" xfId="0" applyFont="1" applyFill="1" applyBorder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164" fontId="0" fillId="0" borderId="12" xfId="0" applyNumberFormat="1" applyFill="1" applyBorder="1" applyAlignment="1">
      <alignment horizontal="center"/>
    </xf>
    <xf numFmtId="164" fontId="0" fillId="0" borderId="1" xfId="0" applyNumberFormat="1" applyBorder="1"/>
    <xf numFmtId="0" fontId="4" fillId="0" borderId="0" xfId="0" applyFont="1" applyFill="1" applyBorder="1" applyAlignment="1">
      <alignment horizontal="right"/>
    </xf>
    <xf numFmtId="0" fontId="0" fillId="0" borderId="2" xfId="0" applyFill="1" applyBorder="1" applyAlignment="1">
      <alignment horizontal="right"/>
    </xf>
    <xf numFmtId="164" fontId="1" fillId="0" borderId="5" xfId="0" applyNumberFormat="1" applyFont="1" applyFill="1" applyBorder="1" applyAlignment="1">
      <alignment horizontal="center"/>
    </xf>
    <xf numFmtId="164" fontId="1" fillId="0" borderId="6" xfId="0" applyNumberFormat="1" applyFont="1" applyFill="1" applyBorder="1" applyAlignment="1">
      <alignment horizontal="center"/>
    </xf>
    <xf numFmtId="164" fontId="1" fillId="0" borderId="7" xfId="0" applyNumberFormat="1" applyFont="1" applyFill="1" applyBorder="1" applyAlignment="1">
      <alignment horizontal="center"/>
    </xf>
    <xf numFmtId="0" fontId="0" fillId="0" borderId="4" xfId="0" applyFill="1" applyBorder="1" applyAlignment="1">
      <alignment horizontal="right"/>
    </xf>
    <xf numFmtId="164" fontId="1" fillId="0" borderId="10" xfId="0" applyNumberFormat="1" applyFont="1" applyFill="1" applyBorder="1" applyAlignment="1">
      <alignment horizontal="center"/>
    </xf>
    <xf numFmtId="164" fontId="0" fillId="0" borderId="11" xfId="0" applyNumberFormat="1" applyFill="1" applyBorder="1" applyAlignment="1">
      <alignment horizontal="center"/>
    </xf>
    <xf numFmtId="164" fontId="0" fillId="0" borderId="5" xfId="0" applyNumberFormat="1" applyFont="1" applyFill="1" applyBorder="1" applyAlignment="1">
      <alignment horizontal="center"/>
    </xf>
    <xf numFmtId="164" fontId="1" fillId="0" borderId="11" xfId="0" applyNumberFormat="1" applyFont="1" applyFill="1" applyBorder="1" applyAlignment="1">
      <alignment horizontal="center"/>
    </xf>
    <xf numFmtId="164" fontId="1" fillId="0" borderId="12" xfId="0" applyNumberFormat="1" applyFont="1" applyFill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164" fontId="0" fillId="0" borderId="8" xfId="0" applyNumberFormat="1" applyFill="1" applyBorder="1" applyAlignment="1">
      <alignment horizontal="center"/>
    </xf>
    <xf numFmtId="166" fontId="0" fillId="0" borderId="9" xfId="0" applyNumberFormat="1" applyFill="1" applyBorder="1" applyAlignment="1">
      <alignment horizontal="center"/>
    </xf>
    <xf numFmtId="0" fontId="9" fillId="0" borderId="0" xfId="0" applyFont="1" applyFill="1" applyAlignment="1">
      <alignment horizontal="right"/>
    </xf>
    <xf numFmtId="164" fontId="9" fillId="0" borderId="8" xfId="0" applyNumberFormat="1" applyFont="1" applyFill="1" applyBorder="1" applyAlignment="1">
      <alignment horizontal="center"/>
    </xf>
    <xf numFmtId="0" fontId="0" fillId="0" borderId="0" xfId="0" applyFill="1"/>
    <xf numFmtId="0" fontId="1" fillId="0" borderId="0" xfId="0" applyFont="1" applyFill="1"/>
    <xf numFmtId="164" fontId="0" fillId="0" borderId="0" xfId="0" applyNumberFormat="1" applyFill="1"/>
    <xf numFmtId="0" fontId="0" fillId="0" borderId="6" xfId="0" applyFill="1" applyBorder="1" applyAlignment="1">
      <alignment horizontal="right"/>
    </xf>
    <xf numFmtId="164" fontId="5" fillId="0" borderId="7" xfId="0" applyNumberFormat="1" applyFont="1" applyFill="1" applyBorder="1" applyAlignment="1">
      <alignment horizontal="center"/>
    </xf>
    <xf numFmtId="164" fontId="5" fillId="0" borderId="9" xfId="0" applyNumberFormat="1" applyFont="1" applyFill="1" applyBorder="1" applyAlignment="1">
      <alignment horizontal="center"/>
    </xf>
    <xf numFmtId="0" fontId="0" fillId="0" borderId="11" xfId="0" applyFill="1" applyBorder="1" applyAlignment="1">
      <alignment horizontal="right"/>
    </xf>
    <xf numFmtId="164" fontId="5" fillId="0" borderId="12" xfId="0" applyNumberFormat="1" applyFont="1" applyFill="1" applyBorder="1" applyAlignment="1">
      <alignment horizontal="center"/>
    </xf>
    <xf numFmtId="164" fontId="0" fillId="0" borderId="8" xfId="0" applyNumberFormat="1" applyBorder="1"/>
    <xf numFmtId="164" fontId="0" fillId="0" borderId="0" xfId="0" applyNumberFormat="1" applyFill="1" applyBorder="1" applyAlignment="1">
      <alignment horizontal="center"/>
    </xf>
    <xf numFmtId="165" fontId="6" fillId="0" borderId="0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right"/>
    </xf>
    <xf numFmtId="164" fontId="5" fillId="0" borderId="1" xfId="0" applyNumberFormat="1" applyFont="1" applyBorder="1" applyAlignment="1">
      <alignment horizontal="center"/>
    </xf>
    <xf numFmtId="0" fontId="8" fillId="0" borderId="0" xfId="0" applyFont="1" applyBorder="1" applyAlignment="1">
      <alignment horizontal="right"/>
    </xf>
    <xf numFmtId="0" fontId="8" fillId="17" borderId="5" xfId="0" applyFont="1" applyFill="1" applyBorder="1"/>
    <xf numFmtId="0" fontId="8" fillId="17" borderId="6" xfId="0" applyFont="1" applyFill="1" applyBorder="1" applyAlignment="1">
      <alignment horizontal="right"/>
    </xf>
    <xf numFmtId="0" fontId="8" fillId="17" borderId="10" xfId="0" applyFont="1" applyFill="1" applyBorder="1"/>
    <xf numFmtId="0" fontId="8" fillId="17" borderId="11" xfId="0" applyFont="1" applyFill="1" applyBorder="1" applyAlignment="1">
      <alignment horizontal="right"/>
    </xf>
    <xf numFmtId="167" fontId="0" fillId="0" borderId="0" xfId="0" applyNumberFormat="1" applyBorder="1"/>
    <xf numFmtId="0" fontId="10" fillId="0" borderId="0" xfId="0" applyFont="1" applyBorder="1"/>
    <xf numFmtId="165" fontId="6" fillId="3" borderId="20" xfId="0" applyNumberFormat="1" applyFont="1" applyFill="1" applyBorder="1" applyAlignment="1">
      <alignment horizontal="center"/>
    </xf>
    <xf numFmtId="164" fontId="4" fillId="0" borderId="0" xfId="0" applyNumberFormat="1" applyFont="1" applyBorder="1"/>
    <xf numFmtId="164" fontId="8" fillId="0" borderId="0" xfId="0" applyNumberFormat="1" applyFont="1" applyBorder="1"/>
    <xf numFmtId="164" fontId="8" fillId="17" borderId="7" xfId="0" applyNumberFormat="1" applyFont="1" applyFill="1" applyBorder="1"/>
    <xf numFmtId="164" fontId="8" fillId="17" borderId="12" xfId="0" applyNumberFormat="1" applyFont="1" applyFill="1" applyBorder="1"/>
    <xf numFmtId="166" fontId="0" fillId="0" borderId="6" xfId="0" applyNumberFormat="1" applyBorder="1" applyAlignment="1">
      <alignment horizontal="center"/>
    </xf>
    <xf numFmtId="166" fontId="0" fillId="0" borderId="7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167" fontId="0" fillId="0" borderId="3" xfId="0" applyNumberFormat="1" applyBorder="1"/>
    <xf numFmtId="167" fontId="0" fillId="0" borderId="4" xfId="0" applyNumberFormat="1" applyBorder="1"/>
    <xf numFmtId="0" fontId="11" fillId="0" borderId="1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1" fillId="3" borderId="17" xfId="0" applyFont="1" applyFill="1" applyBorder="1" applyAlignment="1">
      <alignment horizontal="right"/>
    </xf>
    <xf numFmtId="0" fontId="1" fillId="3" borderId="18" xfId="0" applyFont="1" applyFill="1" applyBorder="1" applyAlignment="1">
      <alignment horizontal="center"/>
    </xf>
    <xf numFmtId="166" fontId="1" fillId="3" borderId="18" xfId="0" applyNumberFormat="1" applyFont="1" applyFill="1" applyBorder="1" applyAlignment="1">
      <alignment horizontal="center"/>
    </xf>
    <xf numFmtId="166" fontId="1" fillId="3" borderId="19" xfId="0" applyNumberFormat="1" applyFont="1" applyFill="1" applyBorder="1" applyAlignment="1">
      <alignment horizontal="center"/>
    </xf>
    <xf numFmtId="0" fontId="0" fillId="0" borderId="0" xfId="0" applyFont="1" applyBorder="1"/>
    <xf numFmtId="0" fontId="0" fillId="0" borderId="3" xfId="0" applyFont="1" applyBorder="1" applyAlignment="1">
      <alignment horizontal="right"/>
    </xf>
    <xf numFmtId="0" fontId="0" fillId="0" borderId="9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165" fontId="0" fillId="2" borderId="8" xfId="0" applyNumberFormat="1" applyFont="1" applyFill="1" applyBorder="1" applyAlignment="1">
      <alignment horizontal="center"/>
    </xf>
    <xf numFmtId="166" fontId="0" fillId="0" borderId="3" xfId="0" applyNumberFormat="1" applyFont="1" applyBorder="1" applyAlignment="1">
      <alignment horizontal="center"/>
    </xf>
    <xf numFmtId="165" fontId="10" fillId="16" borderId="3" xfId="0" applyNumberFormat="1" applyFont="1" applyFill="1" applyBorder="1" applyAlignment="1">
      <alignment horizontal="center"/>
    </xf>
    <xf numFmtId="0" fontId="0" fillId="0" borderId="0" xfId="0" applyFont="1"/>
    <xf numFmtId="0" fontId="0" fillId="0" borderId="0" xfId="0" applyFont="1" applyBorder="1" applyAlignment="1">
      <alignment horizontal="center"/>
    </xf>
    <xf numFmtId="164" fontId="0" fillId="0" borderId="8" xfId="0" applyNumberFormat="1" applyFont="1" applyBorder="1" applyAlignment="1">
      <alignment horizontal="center"/>
    </xf>
    <xf numFmtId="166" fontId="0" fillId="0" borderId="0" xfId="0" applyNumberFormat="1" applyFont="1" applyBorder="1" applyAlignment="1">
      <alignment horizontal="center"/>
    </xf>
    <xf numFmtId="166" fontId="0" fillId="0" borderId="9" xfId="0" applyNumberFormat="1" applyFont="1" applyBorder="1" applyAlignment="1">
      <alignment horizontal="center"/>
    </xf>
    <xf numFmtId="164" fontId="0" fillId="6" borderId="3" xfId="0" applyNumberFormat="1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165" fontId="0" fillId="11" borderId="3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right"/>
    </xf>
    <xf numFmtId="0" fontId="0" fillId="0" borderId="14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166" fontId="0" fillId="0" borderId="1" xfId="0" applyNumberFormat="1" applyFont="1" applyBorder="1" applyAlignment="1">
      <alignment horizontal="center"/>
    </xf>
    <xf numFmtId="164" fontId="0" fillId="0" borderId="14" xfId="0" applyNumberFormat="1" applyFont="1" applyBorder="1"/>
    <xf numFmtId="165" fontId="0" fillId="0" borderId="0" xfId="0" applyNumberFormat="1" applyBorder="1" applyAlignment="1">
      <alignment horizontal="center"/>
    </xf>
    <xf numFmtId="0" fontId="0" fillId="18" borderId="3" xfId="0" applyFill="1" applyBorder="1" applyAlignment="1">
      <alignment horizontal="right"/>
    </xf>
    <xf numFmtId="0" fontId="0" fillId="18" borderId="9" xfId="0" applyFill="1" applyBorder="1" applyAlignment="1">
      <alignment horizontal="center"/>
    </xf>
    <xf numFmtId="0" fontId="0" fillId="18" borderId="3" xfId="0" applyFill="1" applyBorder="1" applyAlignment="1">
      <alignment horizontal="center"/>
    </xf>
    <xf numFmtId="165" fontId="0" fillId="18" borderId="8" xfId="0" applyNumberFormat="1" applyFill="1" applyBorder="1" applyAlignment="1">
      <alignment horizontal="center"/>
    </xf>
    <xf numFmtId="166" fontId="0" fillId="18" borderId="3" xfId="0" applyNumberFormat="1" applyFill="1" applyBorder="1" applyAlignment="1">
      <alignment horizontal="center"/>
    </xf>
    <xf numFmtId="166" fontId="0" fillId="18" borderId="0" xfId="0" applyNumberFormat="1" applyFill="1" applyBorder="1" applyAlignment="1">
      <alignment horizontal="center"/>
    </xf>
    <xf numFmtId="166" fontId="0" fillId="18" borderId="9" xfId="0" applyNumberFormat="1" applyFill="1" applyBorder="1" applyAlignment="1">
      <alignment horizontal="center"/>
    </xf>
    <xf numFmtId="0" fontId="0" fillId="18" borderId="0" xfId="0" applyFill="1" applyBorder="1"/>
    <xf numFmtId="0" fontId="0" fillId="18" borderId="0" xfId="0" applyFill="1"/>
    <xf numFmtId="0" fontId="0" fillId="18" borderId="0" xfId="0" applyFill="1" applyBorder="1" applyAlignment="1">
      <alignment horizontal="center"/>
    </xf>
    <xf numFmtId="0" fontId="0" fillId="18" borderId="0" xfId="0" applyFill="1" applyBorder="1" applyAlignment="1">
      <alignment horizontal="right"/>
    </xf>
    <xf numFmtId="167" fontId="0" fillId="0" borderId="0" xfId="0" applyNumberFormat="1" applyFill="1" applyBorder="1"/>
    <xf numFmtId="164" fontId="1" fillId="0" borderId="8" xfId="0" applyNumberFormat="1" applyFont="1" applyBorder="1" applyAlignment="1">
      <alignment horizontal="center"/>
    </xf>
    <xf numFmtId="165" fontId="0" fillId="2" borderId="13" xfId="0" applyNumberForma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165" fontId="0" fillId="0" borderId="3" xfId="0" applyNumberFormat="1" applyFill="1" applyBorder="1" applyAlignment="1">
      <alignment horizontal="center"/>
    </xf>
    <xf numFmtId="165" fontId="0" fillId="0" borderId="4" xfId="0" applyNumberFormat="1" applyFill="1" applyBorder="1" applyAlignment="1">
      <alignment horizontal="center"/>
    </xf>
    <xf numFmtId="165" fontId="0" fillId="18" borderId="3" xfId="0" applyNumberFormat="1" applyFill="1" applyBorder="1" applyAlignment="1">
      <alignment horizontal="center"/>
    </xf>
    <xf numFmtId="165" fontId="0" fillId="3" borderId="18" xfId="0" applyNumberForma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165" fontId="0" fillId="0" borderId="3" xfId="0" applyNumberFormat="1" applyFill="1" applyBorder="1" applyAlignment="1">
      <alignment horizontal="center" wrapText="1"/>
    </xf>
    <xf numFmtId="165" fontId="1" fillId="2" borderId="8" xfId="0" applyNumberFormat="1" applyFont="1" applyFill="1" applyBorder="1" applyAlignment="1">
      <alignment horizontal="center"/>
    </xf>
    <xf numFmtId="165" fontId="1" fillId="0" borderId="3" xfId="0" applyNumberFormat="1" applyFont="1" applyFill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165" fontId="9" fillId="3" borderId="8" xfId="0" applyNumberFormat="1" applyFont="1" applyFill="1" applyBorder="1" applyAlignment="1">
      <alignment horizontal="center"/>
    </xf>
    <xf numFmtId="165" fontId="0" fillId="0" borderId="8" xfId="0" applyNumberFormat="1" applyBorder="1" applyAlignment="1">
      <alignment horizontal="center"/>
    </xf>
    <xf numFmtId="165" fontId="1" fillId="0" borderId="8" xfId="0" applyNumberFormat="1" applyFont="1" applyBorder="1" applyAlignment="1">
      <alignment horizontal="center"/>
    </xf>
    <xf numFmtId="165" fontId="0" fillId="0" borderId="8" xfId="0" applyNumberFormat="1" applyFont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165" fontId="0" fillId="6" borderId="19" xfId="0" applyNumberFormat="1" applyFill="1" applyBorder="1" applyAlignment="1">
      <alignment horizontal="center"/>
    </xf>
    <xf numFmtId="164" fontId="0" fillId="6" borderId="18" xfId="0" applyNumberFormat="1" applyFill="1" applyBorder="1" applyAlignment="1">
      <alignment horizontal="center"/>
    </xf>
    <xf numFmtId="164" fontId="6" fillId="16" borderId="3" xfId="0" applyNumberFormat="1" applyFont="1" applyFill="1" applyBorder="1" applyAlignment="1">
      <alignment horizontal="center"/>
    </xf>
    <xf numFmtId="164" fontId="6" fillId="16" borderId="13" xfId="0" applyNumberFormat="1" applyFont="1" applyFill="1" applyBorder="1" applyAlignment="1">
      <alignment horizontal="center"/>
    </xf>
    <xf numFmtId="164" fontId="10" fillId="16" borderId="3" xfId="0" applyNumberFormat="1" applyFont="1" applyFill="1" applyBorder="1" applyAlignment="1">
      <alignment horizontal="center"/>
    </xf>
    <xf numFmtId="164" fontId="6" fillId="6" borderId="20" xfId="0" applyNumberFormat="1" applyFont="1" applyFill="1" applyBorder="1" applyAlignment="1">
      <alignment horizontal="center"/>
    </xf>
    <xf numFmtId="165" fontId="0" fillId="11" borderId="13" xfId="0" applyNumberFormat="1" applyFont="1" applyFill="1" applyBorder="1" applyAlignment="1">
      <alignment horizontal="center"/>
    </xf>
    <xf numFmtId="165" fontId="0" fillId="3" borderId="15" xfId="0" applyNumberFormat="1" applyFill="1" applyBorder="1" applyAlignment="1">
      <alignment horizontal="center"/>
    </xf>
    <xf numFmtId="165" fontId="0" fillId="3" borderId="14" xfId="0" applyNumberFormat="1" applyFill="1" applyBorder="1" applyAlignment="1">
      <alignment horizontal="center"/>
    </xf>
    <xf numFmtId="0" fontId="0" fillId="19" borderId="3" xfId="0" applyFill="1" applyBorder="1" applyAlignment="1">
      <alignment horizontal="center"/>
    </xf>
    <xf numFmtId="164" fontId="0" fillId="19" borderId="3" xfId="0" applyNumberFormat="1" applyFill="1" applyBorder="1" applyAlignment="1">
      <alignment horizontal="center"/>
    </xf>
    <xf numFmtId="164" fontId="6" fillId="19" borderId="3" xfId="0" applyNumberFormat="1" applyFont="1" applyFill="1" applyBorder="1" applyAlignment="1">
      <alignment horizontal="center"/>
    </xf>
    <xf numFmtId="0" fontId="9" fillId="18" borderId="0" xfId="0" applyFont="1" applyFill="1" applyAlignment="1">
      <alignment horizontal="right"/>
    </xf>
    <xf numFmtId="165" fontId="0" fillId="3" borderId="5" xfId="0" applyNumberFormat="1" applyFont="1" applyFill="1" applyBorder="1" applyAlignment="1">
      <alignment horizontal="center"/>
    </xf>
    <xf numFmtId="164" fontId="1" fillId="0" borderId="8" xfId="0" applyNumberFormat="1" applyFont="1" applyFill="1" applyBorder="1" applyAlignment="1">
      <alignment horizontal="center"/>
    </xf>
    <xf numFmtId="165" fontId="1" fillId="18" borderId="8" xfId="0" applyNumberFormat="1" applyFont="1" applyFill="1" applyBorder="1" applyAlignment="1">
      <alignment horizontal="center"/>
    </xf>
    <xf numFmtId="164" fontId="1" fillId="18" borderId="8" xfId="0" applyNumberFormat="1" applyFont="1" applyFill="1" applyBorder="1" applyAlignment="1">
      <alignment horizontal="center"/>
    </xf>
    <xf numFmtId="167" fontId="0" fillId="0" borderId="9" xfId="0" applyNumberFormat="1" applyBorder="1"/>
    <xf numFmtId="165" fontId="0" fillId="3" borderId="8" xfId="0" applyNumberFormat="1" applyFill="1" applyBorder="1"/>
    <xf numFmtId="165" fontId="0" fillId="12" borderId="8" xfId="0" applyNumberFormat="1" applyFill="1" applyBorder="1" applyAlignment="1">
      <alignment horizontal="center"/>
    </xf>
    <xf numFmtId="165" fontId="0" fillId="12" borderId="13" xfId="0" applyNumberForma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164" fontId="1" fillId="6" borderId="5" xfId="0" applyNumberFormat="1" applyFont="1" applyFill="1" applyBorder="1" applyAlignment="1">
      <alignment horizontal="center"/>
    </xf>
    <xf numFmtId="164" fontId="1" fillId="6" borderId="6" xfId="0" applyNumberFormat="1" applyFont="1" applyFill="1" applyBorder="1" applyAlignment="1">
      <alignment horizontal="center"/>
    </xf>
    <xf numFmtId="164" fontId="1" fillId="6" borderId="7" xfId="0" applyNumberFormat="1" applyFont="1" applyFill="1" applyBorder="1" applyAlignment="1">
      <alignment horizontal="center"/>
    </xf>
    <xf numFmtId="164" fontId="1" fillId="6" borderId="10" xfId="0" applyNumberFormat="1" applyFont="1" applyFill="1" applyBorder="1" applyAlignment="1">
      <alignment horizontal="center"/>
    </xf>
    <xf numFmtId="164" fontId="1" fillId="6" borderId="11" xfId="0" applyNumberFormat="1" applyFont="1" applyFill="1" applyBorder="1" applyAlignment="1">
      <alignment horizontal="center"/>
    </xf>
    <xf numFmtId="164" fontId="1" fillId="6" borderId="12" xfId="0" applyNumberFormat="1" applyFont="1" applyFill="1" applyBorder="1" applyAlignment="1">
      <alignment horizontal="center"/>
    </xf>
    <xf numFmtId="164" fontId="0" fillId="3" borderId="5" xfId="0" applyNumberFormat="1" applyFont="1" applyFill="1" applyBorder="1" applyAlignment="1">
      <alignment horizontal="center"/>
    </xf>
    <xf numFmtId="164" fontId="0" fillId="3" borderId="6" xfId="0" applyNumberFormat="1" applyFont="1" applyFill="1" applyBorder="1" applyAlignment="1">
      <alignment horizontal="center"/>
    </xf>
    <xf numFmtId="164" fontId="0" fillId="3" borderId="7" xfId="0" applyNumberFormat="1" applyFont="1" applyFill="1" applyBorder="1" applyAlignment="1">
      <alignment horizontal="center"/>
    </xf>
    <xf numFmtId="164" fontId="1" fillId="3" borderId="10" xfId="0" applyNumberFormat="1" applyFont="1" applyFill="1" applyBorder="1" applyAlignment="1">
      <alignment horizontal="center"/>
    </xf>
    <xf numFmtId="164" fontId="1" fillId="3" borderId="11" xfId="0" applyNumberFormat="1" applyFont="1" applyFill="1" applyBorder="1" applyAlignment="1">
      <alignment horizontal="center"/>
    </xf>
    <xf numFmtId="164" fontId="1" fillId="3" borderId="12" xfId="0" applyNumberFormat="1" applyFont="1" applyFill="1" applyBorder="1" applyAlignment="1">
      <alignment horizontal="center"/>
    </xf>
    <xf numFmtId="164" fontId="0" fillId="5" borderId="5" xfId="0" applyNumberFormat="1" applyFill="1" applyBorder="1" applyAlignment="1">
      <alignment horizontal="center"/>
    </xf>
    <xf numFmtId="164" fontId="0" fillId="5" borderId="6" xfId="0" applyNumberFormat="1" applyFill="1" applyBorder="1" applyAlignment="1">
      <alignment horizontal="center"/>
    </xf>
    <xf numFmtId="164" fontId="0" fillId="5" borderId="7" xfId="0" applyNumberFormat="1" applyFill="1" applyBorder="1" applyAlignment="1">
      <alignment horizontal="center"/>
    </xf>
    <xf numFmtId="164" fontId="1" fillId="5" borderId="10" xfId="0" applyNumberFormat="1" applyFont="1" applyFill="1" applyBorder="1" applyAlignment="1">
      <alignment horizontal="center"/>
    </xf>
    <xf numFmtId="164" fontId="1" fillId="5" borderId="11" xfId="0" applyNumberFormat="1" applyFont="1" applyFill="1" applyBorder="1" applyAlignment="1">
      <alignment horizontal="center"/>
    </xf>
    <xf numFmtId="164" fontId="1" fillId="5" borderId="12" xfId="0" applyNumberFormat="1" applyFont="1" applyFill="1" applyBorder="1" applyAlignment="1">
      <alignment horizontal="center"/>
    </xf>
  </cellXfs>
  <cellStyles count="6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6" tint="0.59999389629810485"/>
  </sheetPr>
  <dimension ref="A1:AK105"/>
  <sheetViews>
    <sheetView tabSelected="1" workbookViewId="0"/>
  </sheetViews>
  <sheetFormatPr baseColWidth="10" defaultRowHeight="15" x14ac:dyDescent="0"/>
  <cols>
    <col min="1" max="1" width="10.83203125" style="20"/>
    <col min="2" max="4" width="10.83203125" style="20" customWidth="1"/>
    <col min="5" max="5" width="10.83203125" style="21" customWidth="1"/>
    <col min="6" max="12" width="10.83203125" style="20" customWidth="1"/>
    <col min="13" max="34" width="10.83203125" style="8" customWidth="1"/>
    <col min="35" max="36" width="10.83203125" style="20" customWidth="1"/>
    <col min="37" max="16384" width="10.83203125" style="20"/>
  </cols>
  <sheetData>
    <row r="1" spans="1:36" ht="23">
      <c r="A1" s="62" t="s">
        <v>90</v>
      </c>
      <c r="F1" s="20" t="s">
        <v>91</v>
      </c>
    </row>
    <row r="2" spans="1:36" ht="20">
      <c r="A2" s="213"/>
      <c r="B2" s="214" t="s">
        <v>59</v>
      </c>
      <c r="C2" s="222">
        <v>-1</v>
      </c>
      <c r="D2" s="61" t="s">
        <v>83</v>
      </c>
    </row>
    <row r="3" spans="1:36" ht="20">
      <c r="A3" s="215"/>
      <c r="B3" s="216" t="s">
        <v>60</v>
      </c>
      <c r="C3" s="223">
        <v>0.5</v>
      </c>
      <c r="D3" s="61" t="s">
        <v>83</v>
      </c>
    </row>
    <row r="4" spans="1:36" ht="18">
      <c r="A4" s="73" t="s">
        <v>77</v>
      </c>
    </row>
    <row r="5" spans="1:36">
      <c r="F5" s="312" t="s">
        <v>63</v>
      </c>
      <c r="G5" s="313"/>
    </row>
    <row r="6" spans="1:36">
      <c r="B6" s="78" t="s">
        <v>57</v>
      </c>
      <c r="C6" s="79" t="s">
        <v>52</v>
      </c>
      <c r="D6" s="80" t="s">
        <v>53</v>
      </c>
      <c r="E6" s="81" t="s">
        <v>54</v>
      </c>
      <c r="F6" s="88" t="s">
        <v>50</v>
      </c>
      <c r="G6" s="89" t="s">
        <v>55</v>
      </c>
      <c r="H6" s="228" t="s">
        <v>47</v>
      </c>
      <c r="I6" s="228" t="s">
        <v>48</v>
      </c>
      <c r="J6" s="228" t="s">
        <v>1</v>
      </c>
    </row>
    <row r="7" spans="1:36">
      <c r="B7" s="63">
        <f>10^C7</f>
        <v>2.8183829312644555</v>
      </c>
      <c r="C7" s="64">
        <v>0.45000000000000018</v>
      </c>
      <c r="D7" s="33">
        <f>M18</f>
        <v>1.6788040181225607</v>
      </c>
      <c r="E7" s="65">
        <f>LOG(D7)</f>
        <v>0.22500000000000012</v>
      </c>
      <c r="F7" s="66">
        <f>M20</f>
        <v>1.9254810301693674</v>
      </c>
      <c r="G7" s="86">
        <f>LOG(F7)</f>
        <v>0.28453924431250271</v>
      </c>
      <c r="H7" s="229">
        <f>O53</f>
        <v>0.68182270865178107</v>
      </c>
      <c r="I7" s="229">
        <f>O54</f>
        <v>0.29073061397072508</v>
      </c>
      <c r="J7" s="229">
        <f>1-(H7+I7)</f>
        <v>2.7446677377493844E-2</v>
      </c>
    </row>
    <row r="8" spans="1:36">
      <c r="B8" s="63">
        <f t="shared" ref="B8:B14" si="0">10^C8</f>
        <v>1.4125375446227555</v>
      </c>
      <c r="C8" s="64">
        <v>0.15000000000000036</v>
      </c>
      <c r="D8" s="33">
        <f>P18</f>
        <v>1.1885022274370189</v>
      </c>
      <c r="E8" s="65">
        <f>LOG(D8)</f>
        <v>7.5000000000000192E-2</v>
      </c>
      <c r="F8" s="66">
        <f>P20</f>
        <v>1.2402834753741112</v>
      </c>
      <c r="G8" s="86">
        <f>LOG(F8)</f>
        <v>9.3520957517585046E-2</v>
      </c>
      <c r="H8" s="229">
        <f>R53</f>
        <v>0.70230296759758792</v>
      </c>
      <c r="I8" s="229">
        <f>R54</f>
        <v>0.28001747084254763</v>
      </c>
      <c r="J8" s="229">
        <f t="shared" ref="J8:J14" si="1">1-(H8+I8)</f>
        <v>1.7679561559864387E-2</v>
      </c>
    </row>
    <row r="9" spans="1:36">
      <c r="B9" s="63">
        <f t="shared" si="0"/>
        <v>0.56234132519034907</v>
      </c>
      <c r="C9" s="64">
        <v>-0.25</v>
      </c>
      <c r="D9" s="33">
        <f>S18</f>
        <v>0.74989420933245587</v>
      </c>
      <c r="E9" s="65">
        <f t="shared" ref="E9:E14" si="2">LOG(D9)</f>
        <v>-0.12499999999999997</v>
      </c>
      <c r="F9" s="66">
        <f>S20</f>
        <v>0.70349496241471843</v>
      </c>
      <c r="G9" s="86">
        <f t="shared" ref="G9:G14" si="3">LOG(F9)</f>
        <v>-0.15273900811313465</v>
      </c>
      <c r="H9" s="229">
        <f>U53</f>
        <v>0.72053323186280471</v>
      </c>
      <c r="I9" s="229">
        <f>U54</f>
        <v>0.26943883279659642</v>
      </c>
      <c r="J9" s="229">
        <f t="shared" si="1"/>
        <v>1.002793534059887E-2</v>
      </c>
    </row>
    <row r="10" spans="1:36">
      <c r="B10" s="63">
        <f t="shared" si="0"/>
        <v>0.28183829312644548</v>
      </c>
      <c r="C10" s="64">
        <v>-0.54999999999999982</v>
      </c>
      <c r="D10" s="33">
        <f>V18</f>
        <v>0.53088444423098846</v>
      </c>
      <c r="E10" s="65">
        <f t="shared" si="2"/>
        <v>-0.27499999999999991</v>
      </c>
      <c r="F10" s="66">
        <f>V20</f>
        <v>0.46667524011324163</v>
      </c>
      <c r="G10" s="86">
        <f t="shared" si="3"/>
        <v>-0.33098524039927524</v>
      </c>
      <c r="H10" s="229">
        <f>X53</f>
        <v>0.7295576341373049</v>
      </c>
      <c r="I10" s="229">
        <f>X54</f>
        <v>0.26379016594238452</v>
      </c>
      <c r="J10" s="229">
        <f t="shared" si="1"/>
        <v>6.6521999203106308E-3</v>
      </c>
    </row>
    <row r="11" spans="1:36">
      <c r="B11" s="63">
        <f t="shared" si="0"/>
        <v>7.0794578438413844E-2</v>
      </c>
      <c r="C11" s="64">
        <v>-1.1499999999999995</v>
      </c>
      <c r="D11" s="33">
        <f>Y18</f>
        <v>0.22387211385683412</v>
      </c>
      <c r="E11" s="65">
        <f t="shared" si="2"/>
        <v>-0.64999999999999969</v>
      </c>
      <c r="F11" s="66">
        <f>Y20</f>
        <v>0.18248246851400532</v>
      </c>
      <c r="G11" s="86">
        <f t="shared" si="3"/>
        <v>-0.73877885281492461</v>
      </c>
      <c r="H11" s="229">
        <f>AA53</f>
        <v>0.74198106021542787</v>
      </c>
      <c r="I11" s="229">
        <f>AA54</f>
        <v>0.25541775215307827</v>
      </c>
      <c r="J11" s="229">
        <f t="shared" si="1"/>
        <v>2.601187631493862E-3</v>
      </c>
    </row>
    <row r="12" spans="1:36">
      <c r="B12" s="63">
        <f t="shared" si="0"/>
        <v>1</v>
      </c>
      <c r="C12" s="83">
        <v>0</v>
      </c>
      <c r="D12" s="59">
        <f>AB18</f>
        <v>1</v>
      </c>
      <c r="E12" s="84">
        <f t="shared" si="2"/>
        <v>0</v>
      </c>
      <c r="F12" s="85">
        <f>AB20</f>
        <v>1.0000054291348428</v>
      </c>
      <c r="G12" s="71">
        <f t="shared" si="3"/>
        <v>2.3578369032373643E-6</v>
      </c>
      <c r="H12" s="229">
        <f>AD53</f>
        <v>0.71015651747140784</v>
      </c>
      <c r="I12" s="229">
        <f>AD54</f>
        <v>0.27558895290240742</v>
      </c>
      <c r="J12" s="229">
        <f t="shared" si="1"/>
        <v>1.4254529626184675E-2</v>
      </c>
    </row>
    <row r="13" spans="1:36">
      <c r="B13" s="63">
        <f t="shared" si="0"/>
        <v>1</v>
      </c>
      <c r="C13" s="64">
        <v>0</v>
      </c>
      <c r="D13" s="33">
        <f>AE18</f>
        <v>1</v>
      </c>
      <c r="E13" s="65">
        <f t="shared" si="2"/>
        <v>0</v>
      </c>
      <c r="F13" s="66">
        <f>AE20</f>
        <v>1.0000054291348428</v>
      </c>
      <c r="G13" s="86">
        <f t="shared" si="3"/>
        <v>2.3578369032373643E-6</v>
      </c>
      <c r="H13" s="229">
        <f>AG53</f>
        <v>0.71015651747140784</v>
      </c>
      <c r="I13" s="229">
        <f>AG54</f>
        <v>0.27558895290240742</v>
      </c>
      <c r="J13" s="229">
        <f t="shared" si="1"/>
        <v>1.4254529626184675E-2</v>
      </c>
    </row>
    <row r="14" spans="1:36">
      <c r="B14" s="63">
        <f t="shared" si="0"/>
        <v>1</v>
      </c>
      <c r="C14" s="68">
        <v>0</v>
      </c>
      <c r="D14" s="34">
        <f>AH18</f>
        <v>1</v>
      </c>
      <c r="E14" s="69">
        <f t="shared" si="2"/>
        <v>0</v>
      </c>
      <c r="F14" s="70">
        <f>AH20</f>
        <v>1.0000054291348428</v>
      </c>
      <c r="G14" s="87">
        <f t="shared" si="3"/>
        <v>2.3578369032373643E-6</v>
      </c>
      <c r="H14" s="230">
        <f>AJ53</f>
        <v>0.71015651747140784</v>
      </c>
      <c r="I14" s="230">
        <f>AJ54</f>
        <v>0.27558895290240742</v>
      </c>
      <c r="J14" s="230">
        <f t="shared" si="1"/>
        <v>1.4254529626184675E-2</v>
      </c>
    </row>
    <row r="15" spans="1:36">
      <c r="A15" s="60" t="s">
        <v>61</v>
      </c>
      <c r="B15" s="74">
        <f>C2</f>
        <v>-1</v>
      </c>
      <c r="C15" s="75">
        <f>C3</f>
        <v>0.5</v>
      </c>
      <c r="D15" s="76">
        <f>B15+H30</f>
        <v>-0.5</v>
      </c>
      <c r="E15" s="77">
        <f>C15*(D15/B15)</f>
        <v>0.25</v>
      </c>
      <c r="F15" s="90">
        <f>B15+H53</f>
        <v>-0.58922364680709016</v>
      </c>
      <c r="G15" s="91">
        <f>C15*(F15/B15)</f>
        <v>0.29461182340354508</v>
      </c>
    </row>
    <row r="16" spans="1:36" ht="20">
      <c r="C16" s="72" t="s">
        <v>62</v>
      </c>
      <c r="J16" s="273"/>
      <c r="K16" s="19" t="s">
        <v>38</v>
      </c>
      <c r="L16" s="35" t="s">
        <v>33</v>
      </c>
      <c r="M16" s="317">
        <f>B7</f>
        <v>2.8183829312644555</v>
      </c>
      <c r="N16" s="318"/>
      <c r="O16" s="319"/>
      <c r="P16" s="317">
        <f>B8</f>
        <v>1.4125375446227555</v>
      </c>
      <c r="Q16" s="318"/>
      <c r="R16" s="319"/>
      <c r="S16" s="317">
        <f>B9</f>
        <v>0.56234132519034907</v>
      </c>
      <c r="T16" s="318"/>
      <c r="U16" s="319"/>
      <c r="V16" s="317">
        <f>B10</f>
        <v>0.28183829312644548</v>
      </c>
      <c r="W16" s="318"/>
      <c r="X16" s="319"/>
      <c r="Y16" s="317">
        <f>B11</f>
        <v>7.0794578438413844E-2</v>
      </c>
      <c r="Z16" s="318"/>
      <c r="AA16" s="319"/>
      <c r="AB16" s="317">
        <f>B12</f>
        <v>1</v>
      </c>
      <c r="AC16" s="318"/>
      <c r="AD16" s="319"/>
      <c r="AE16" s="317">
        <f>B13</f>
        <v>1</v>
      </c>
      <c r="AF16" s="318"/>
      <c r="AG16" s="319"/>
      <c r="AH16" s="317">
        <f>B14</f>
        <v>1</v>
      </c>
      <c r="AI16" s="318"/>
      <c r="AJ16" s="319"/>
    </row>
    <row r="17" spans="1:37" ht="18">
      <c r="C17" s="32"/>
      <c r="F17" s="210" t="s">
        <v>47</v>
      </c>
      <c r="G17" s="211">
        <f>G23</f>
        <v>0.71015657322469128</v>
      </c>
      <c r="K17" s="21"/>
      <c r="L17" s="37" t="s">
        <v>52</v>
      </c>
      <c r="M17" s="320">
        <f>LOG(M16)</f>
        <v>0.45000000000000023</v>
      </c>
      <c r="N17" s="321"/>
      <c r="O17" s="322"/>
      <c r="P17" s="320">
        <f t="shared" ref="P17:AH17" si="4">LOG(P16)</f>
        <v>0.15000000000000036</v>
      </c>
      <c r="Q17" s="321"/>
      <c r="R17" s="322"/>
      <c r="S17" s="320">
        <f t="shared" si="4"/>
        <v>-0.25</v>
      </c>
      <c r="T17" s="321"/>
      <c r="U17" s="322"/>
      <c r="V17" s="320">
        <f t="shared" si="4"/>
        <v>-0.54999999999999982</v>
      </c>
      <c r="W17" s="321"/>
      <c r="X17" s="322"/>
      <c r="Y17" s="320">
        <f t="shared" si="4"/>
        <v>-1.1499999999999997</v>
      </c>
      <c r="Z17" s="321"/>
      <c r="AA17" s="322"/>
      <c r="AB17" s="320">
        <f t="shared" si="4"/>
        <v>0</v>
      </c>
      <c r="AC17" s="321"/>
      <c r="AD17" s="322"/>
      <c r="AE17" s="320">
        <f t="shared" si="4"/>
        <v>0</v>
      </c>
      <c r="AF17" s="321"/>
      <c r="AG17" s="322"/>
      <c r="AH17" s="320">
        <f t="shared" si="4"/>
        <v>0</v>
      </c>
      <c r="AI17" s="321"/>
      <c r="AJ17" s="322"/>
    </row>
    <row r="18" spans="1:37" ht="20">
      <c r="F18" s="210" t="s">
        <v>48</v>
      </c>
      <c r="G18" s="211">
        <f>G24</f>
        <v>0.27558897453846737</v>
      </c>
      <c r="H18" s="60" t="s">
        <v>84</v>
      </c>
      <c r="I18" s="217">
        <f>10^(E24+1.0783) -1</f>
        <v>0.17030753166883605</v>
      </c>
      <c r="K18" s="19" t="s">
        <v>37</v>
      </c>
      <c r="L18" s="38" t="s">
        <v>53</v>
      </c>
      <c r="M18" s="323">
        <f>10^M19</f>
        <v>1.6788040181225607</v>
      </c>
      <c r="N18" s="324"/>
      <c r="O18" s="325"/>
      <c r="P18" s="323">
        <f t="shared" ref="P18:AB18" si="5">10^P19</f>
        <v>1.1885022274370189</v>
      </c>
      <c r="Q18" s="324"/>
      <c r="R18" s="325"/>
      <c r="S18" s="323">
        <f t="shared" si="5"/>
        <v>0.74989420933245587</v>
      </c>
      <c r="T18" s="324"/>
      <c r="U18" s="325"/>
      <c r="V18" s="323">
        <f t="shared" si="5"/>
        <v>0.53088444423098846</v>
      </c>
      <c r="W18" s="324"/>
      <c r="X18" s="325"/>
      <c r="Y18" s="323">
        <f t="shared" si="5"/>
        <v>0.22387211385683412</v>
      </c>
      <c r="Z18" s="324"/>
      <c r="AA18" s="325"/>
      <c r="AB18" s="323">
        <f t="shared" si="5"/>
        <v>1</v>
      </c>
      <c r="AC18" s="324"/>
      <c r="AD18" s="325"/>
      <c r="AE18" s="323">
        <f>10^AE19</f>
        <v>1</v>
      </c>
      <c r="AF18" s="324"/>
      <c r="AG18" s="325"/>
      <c r="AH18" s="323">
        <f>10^AH19</f>
        <v>1</v>
      </c>
      <c r="AI18" s="324"/>
      <c r="AJ18" s="325"/>
    </row>
    <row r="19" spans="1:37" ht="18">
      <c r="F19" s="210" t="s">
        <v>1</v>
      </c>
      <c r="G19" s="211">
        <f>SUM(G25:G52)</f>
        <v>1.4254452236841769E-2</v>
      </c>
      <c r="H19" s="218" t="s">
        <v>88</v>
      </c>
      <c r="I19" s="21"/>
      <c r="J19" s="21"/>
      <c r="L19" s="39" t="s">
        <v>54</v>
      </c>
      <c r="M19" s="326">
        <f>IF(M$17&gt;$C$3,($H30/$C$2)*$C$3,IF(M$17&gt;$C$2,($H30/$C$2)*M$17,$H30))+M$17</f>
        <v>0.22500000000000012</v>
      </c>
      <c r="N19" s="327"/>
      <c r="O19" s="328"/>
      <c r="P19" s="326">
        <f>IF(P$17&gt;$C$3,($H30/$C$2)*$C$3,IF(P$17&gt;$C$2,($H30/$C$2)*P$17,$H30))+P$17</f>
        <v>7.5000000000000178E-2</v>
      </c>
      <c r="Q19" s="327"/>
      <c r="R19" s="328"/>
      <c r="S19" s="326">
        <f>IF(S$17&gt;$C$3,($H30/$C$2)*$C$3,IF(S$17&gt;$C$2,($H30/$C$2)*S$17,$H30))+S$17</f>
        <v>-0.125</v>
      </c>
      <c r="T19" s="327"/>
      <c r="U19" s="328"/>
      <c r="V19" s="326">
        <f>IF(V$17&gt;$C$3,($H30/$C$2)*$C$3,IF(V$17&gt;$C$2,($H30/$C$2)*V$17,$H30))+V$17</f>
        <v>-0.27499999999999991</v>
      </c>
      <c r="W19" s="327"/>
      <c r="X19" s="328"/>
      <c r="Y19" s="326">
        <f>IF(Y$17&gt;$C$3,($H30/$C$2)*$C$3,IF(Y$17&gt;$C$2,($H30/$C$2)*Y$17,$H30))+Y$17</f>
        <v>-0.64999999999999969</v>
      </c>
      <c r="Z19" s="327"/>
      <c r="AA19" s="328"/>
      <c r="AB19" s="326">
        <f>IF(AB$17&gt;$C$3,($H30/$C$2)*$C$3,IF(AB$17&gt;$C$2,($H30/$C$2)*AB$17,$H30))+AB$17</f>
        <v>0</v>
      </c>
      <c r="AC19" s="327"/>
      <c r="AD19" s="328"/>
      <c r="AE19" s="326">
        <f>IF(AE$17&gt;$C$3,($H30/$C$2)*$C$3,IF(AE$17&gt;$C$2,($H30/$C$2)*AE$17,$H30))+AE$17</f>
        <v>0</v>
      </c>
      <c r="AF19" s="327"/>
      <c r="AG19" s="328"/>
      <c r="AH19" s="326">
        <f>IF(AH$17&gt;$C$3,($H30/$C$2)*$C$3,IF(AH$17&gt;$C$2,($H30/$C$2)*AH$17,$H30))+AH$17</f>
        <v>0</v>
      </c>
      <c r="AI19" s="327"/>
      <c r="AJ19" s="328"/>
    </row>
    <row r="20" spans="1:37" ht="20">
      <c r="E20" s="138" t="s">
        <v>44</v>
      </c>
      <c r="F20" s="30"/>
      <c r="G20" s="8"/>
      <c r="I20" s="21"/>
      <c r="J20" s="21"/>
      <c r="K20" s="19" t="s">
        <v>37</v>
      </c>
      <c r="L20" s="49" t="s">
        <v>50</v>
      </c>
      <c r="M20" s="329">
        <f>O55/$G$19</f>
        <v>1.9254810301693674</v>
      </c>
      <c r="N20" s="330"/>
      <c r="O20" s="331"/>
      <c r="P20" s="329">
        <f>R55/$G$19</f>
        <v>1.2402834753741112</v>
      </c>
      <c r="Q20" s="330"/>
      <c r="R20" s="331"/>
      <c r="S20" s="329">
        <f>U55/$G$19</f>
        <v>0.70349496241471843</v>
      </c>
      <c r="T20" s="330"/>
      <c r="U20" s="331"/>
      <c r="V20" s="329">
        <f>X55/$G$19</f>
        <v>0.46667524011324163</v>
      </c>
      <c r="W20" s="330"/>
      <c r="X20" s="331"/>
      <c r="Y20" s="329">
        <f>AA55/$G$19</f>
        <v>0.18248246851400532</v>
      </c>
      <c r="Z20" s="330"/>
      <c r="AA20" s="331"/>
      <c r="AB20" s="329">
        <f>AD55/$G$19</f>
        <v>1.0000054291348428</v>
      </c>
      <c r="AC20" s="330"/>
      <c r="AD20" s="331"/>
      <c r="AE20" s="329">
        <f>AG55/$G$19</f>
        <v>1.0000054291348428</v>
      </c>
      <c r="AF20" s="330"/>
      <c r="AG20" s="331"/>
      <c r="AH20" s="329">
        <f>AJ55/$G$19</f>
        <v>1.0000054291348428</v>
      </c>
      <c r="AI20" s="330"/>
      <c r="AJ20" s="331"/>
    </row>
    <row r="21" spans="1:37" ht="20">
      <c r="B21" s="61" t="s">
        <v>76</v>
      </c>
      <c r="E21" s="139" t="s">
        <v>42</v>
      </c>
      <c r="F21" s="52" t="s">
        <v>43</v>
      </c>
      <c r="G21" s="21"/>
      <c r="H21" s="314"/>
      <c r="I21" s="315"/>
      <c r="J21" s="316"/>
      <c r="K21" s="21"/>
      <c r="L21" s="36" t="s">
        <v>55</v>
      </c>
      <c r="M21" s="332">
        <f>LOG(M20)</f>
        <v>0.28453924431250271</v>
      </c>
      <c r="N21" s="333"/>
      <c r="O21" s="334"/>
      <c r="P21" s="332">
        <f>LOG(P20)</f>
        <v>9.3520957517585046E-2</v>
      </c>
      <c r="Q21" s="333"/>
      <c r="R21" s="334"/>
      <c r="S21" s="332">
        <f>LOG(S20)</f>
        <v>-0.15273900811313465</v>
      </c>
      <c r="T21" s="333"/>
      <c r="U21" s="334"/>
      <c r="V21" s="332">
        <f>LOG(V20)</f>
        <v>-0.33098524039927524</v>
      </c>
      <c r="W21" s="333"/>
      <c r="X21" s="334"/>
      <c r="Y21" s="332">
        <f>LOG(Y20)</f>
        <v>-0.73877885281492461</v>
      </c>
      <c r="Z21" s="333"/>
      <c r="AA21" s="334"/>
      <c r="AB21" s="332">
        <f>LOG(AB20)</f>
        <v>2.3578369032373643E-6</v>
      </c>
      <c r="AC21" s="333"/>
      <c r="AD21" s="334"/>
      <c r="AE21" s="332">
        <f>LOG(AE20)</f>
        <v>2.3578369032373643E-6</v>
      </c>
      <c r="AF21" s="333"/>
      <c r="AG21" s="334"/>
      <c r="AH21" s="332">
        <f>LOG(AH20)</f>
        <v>2.3578369032373643E-6</v>
      </c>
      <c r="AI21" s="333"/>
      <c r="AJ21" s="334"/>
    </row>
    <row r="22" spans="1:37" s="104" customFormat="1" ht="47">
      <c r="B22" s="105" t="s">
        <v>0</v>
      </c>
      <c r="C22" s="106" t="s">
        <v>1</v>
      </c>
      <c r="D22" s="107" t="s">
        <v>41</v>
      </c>
      <c r="E22" s="140" t="s">
        <v>75</v>
      </c>
      <c r="F22" s="108" t="s">
        <v>45</v>
      </c>
      <c r="G22" s="109" t="s">
        <v>46</v>
      </c>
      <c r="H22" s="251" t="s">
        <v>2</v>
      </c>
      <c r="I22" s="252" t="s">
        <v>3</v>
      </c>
      <c r="J22" s="253" t="s">
        <v>39</v>
      </c>
      <c r="K22" s="110"/>
      <c r="L22" s="111"/>
      <c r="M22" s="112" t="s">
        <v>56</v>
      </c>
      <c r="N22" s="113" t="s">
        <v>40</v>
      </c>
      <c r="O22" s="114" t="s">
        <v>49</v>
      </c>
      <c r="P22" s="112" t="s">
        <v>56</v>
      </c>
      <c r="Q22" s="113" t="s">
        <v>40</v>
      </c>
      <c r="R22" s="114" t="s">
        <v>49</v>
      </c>
      <c r="S22" s="112" t="s">
        <v>56</v>
      </c>
      <c r="T22" s="113" t="s">
        <v>40</v>
      </c>
      <c r="U22" s="114" t="s">
        <v>49</v>
      </c>
      <c r="V22" s="112" t="s">
        <v>56</v>
      </c>
      <c r="W22" s="113" t="s">
        <v>40</v>
      </c>
      <c r="X22" s="114" t="s">
        <v>49</v>
      </c>
      <c r="Y22" s="112" t="s">
        <v>56</v>
      </c>
      <c r="Z22" s="113" t="s">
        <v>40</v>
      </c>
      <c r="AA22" s="114" t="s">
        <v>49</v>
      </c>
      <c r="AB22" s="112" t="s">
        <v>56</v>
      </c>
      <c r="AC22" s="113" t="s">
        <v>40</v>
      </c>
      <c r="AD22" s="114" t="s">
        <v>49</v>
      </c>
      <c r="AE22" s="112" t="s">
        <v>56</v>
      </c>
      <c r="AF22" s="113" t="s">
        <v>40</v>
      </c>
      <c r="AG22" s="114" t="s">
        <v>49</v>
      </c>
      <c r="AH22" s="112" t="s">
        <v>56</v>
      </c>
      <c r="AI22" s="113" t="s">
        <v>40</v>
      </c>
      <c r="AJ22" s="114" t="s">
        <v>49</v>
      </c>
    </row>
    <row r="23" spans="1:37">
      <c r="B23" s="50" t="s">
        <v>4</v>
      </c>
      <c r="C23" s="55">
        <v>1</v>
      </c>
      <c r="D23" s="53">
        <v>1.0079400000000001</v>
      </c>
      <c r="E23" s="161">
        <v>0</v>
      </c>
      <c r="F23" s="57">
        <f>(10^E23)*$D23</f>
        <v>1.0079400000000001</v>
      </c>
      <c r="G23" s="57">
        <f>F23/(SUM($F$23:$F$52))</f>
        <v>0.71015657322469128</v>
      </c>
      <c r="H23" s="99" t="s">
        <v>36</v>
      </c>
      <c r="I23" s="98" t="s">
        <v>36</v>
      </c>
      <c r="J23" s="53" t="s">
        <v>36</v>
      </c>
      <c r="K23" s="21"/>
      <c r="L23" s="21"/>
      <c r="M23" s="285">
        <f>$E$23</f>
        <v>0</v>
      </c>
      <c r="N23" s="224">
        <f>(10^M23)*$D23</f>
        <v>1.0079400000000001</v>
      </c>
      <c r="O23" s="225">
        <f>N23/(SUM(N$23:N$52))</f>
        <v>0.68182270865178107</v>
      </c>
      <c r="P23" s="2">
        <f t="shared" ref="P23:AH23" si="6">$E$23</f>
        <v>0</v>
      </c>
      <c r="Q23" s="224">
        <f>(10^P23)*$D23</f>
        <v>1.0079400000000001</v>
      </c>
      <c r="R23" s="225">
        <f>Q23/(SUM(Q$23:Q$52))</f>
        <v>0.70230296759758792</v>
      </c>
      <c r="S23" s="2">
        <f t="shared" si="6"/>
        <v>0</v>
      </c>
      <c r="T23" s="224">
        <f>(10^S23)*$D23</f>
        <v>1.0079400000000001</v>
      </c>
      <c r="U23" s="225">
        <f>T23/(SUM(T$23:T$52))</f>
        <v>0.72053323186280471</v>
      </c>
      <c r="V23" s="2">
        <f t="shared" si="6"/>
        <v>0</v>
      </c>
      <c r="W23" s="224">
        <f>(10^V23)*$D23</f>
        <v>1.0079400000000001</v>
      </c>
      <c r="X23" s="225">
        <f>W23/(SUM(W$23:W$52))</f>
        <v>0.7295576341373049</v>
      </c>
      <c r="Y23" s="2">
        <f t="shared" si="6"/>
        <v>0</v>
      </c>
      <c r="Z23" s="224">
        <f>(10^Y23)*$D23</f>
        <v>1.0079400000000001</v>
      </c>
      <c r="AA23" s="225">
        <f>Z23/(SUM(Z$23:Z$52))</f>
        <v>0.74198106021542787</v>
      </c>
      <c r="AB23" s="2">
        <f>$E$23</f>
        <v>0</v>
      </c>
      <c r="AC23" s="224">
        <f>(10^AB23)*$D23</f>
        <v>1.0079400000000001</v>
      </c>
      <c r="AD23" s="225">
        <f>AC23/(SUM(AC$23:AC$52))</f>
        <v>0.71015651747140784</v>
      </c>
      <c r="AE23" s="2">
        <f t="shared" si="6"/>
        <v>0</v>
      </c>
      <c r="AF23" s="224">
        <f>(10^AE23)*$D23</f>
        <v>1.0079400000000001</v>
      </c>
      <c r="AG23" s="225">
        <f>AF23/(SUM(AF$23:AF$52))</f>
        <v>0.71015651747140784</v>
      </c>
      <c r="AH23" s="2">
        <f t="shared" si="6"/>
        <v>0</v>
      </c>
      <c r="AI23" s="224">
        <f>(10^AH23)*$D23</f>
        <v>1.0079400000000001</v>
      </c>
      <c r="AJ23" s="225">
        <f>AI23/(SUM(AI$23:AI$52))</f>
        <v>0.71015651747140784</v>
      </c>
    </row>
    <row r="24" spans="1:37">
      <c r="B24" s="50" t="s">
        <v>24</v>
      </c>
      <c r="C24" s="55">
        <v>2</v>
      </c>
      <c r="D24" s="53">
        <v>4.0026020000000004</v>
      </c>
      <c r="E24" s="161">
        <v>-1.01</v>
      </c>
      <c r="F24" s="57">
        <f t="shared" ref="F24:F52" si="7">(10^E24)*$D24</f>
        <v>0.39114916550721696</v>
      </c>
      <c r="G24" s="57">
        <f t="shared" ref="G24:G52" si="8">F24/(SUM($F$23:$F$52))</f>
        <v>0.27558897453846737</v>
      </c>
      <c r="H24" s="99" t="s">
        <v>35</v>
      </c>
      <c r="I24" s="98" t="s">
        <v>35</v>
      </c>
      <c r="J24" s="53" t="s">
        <v>35</v>
      </c>
      <c r="K24" s="21"/>
      <c r="L24" s="163" t="s">
        <v>78</v>
      </c>
      <c r="M24" s="286">
        <f>-1.0783+LOG(1+$I$18*M$18)</f>
        <v>-0.96908842378114957</v>
      </c>
      <c r="N24" s="166">
        <f>(10^M24)*$D24</f>
        <v>0.42978770188675669</v>
      </c>
      <c r="O24" s="167">
        <f t="shared" ref="O24:O52" si="9">N24/(SUM(N$23:N$52))</f>
        <v>0.29073061397072508</v>
      </c>
      <c r="P24" s="165">
        <f>-1.0783+LOG(1+$I$18*P$18)</f>
        <v>-0.99824710242866088</v>
      </c>
      <c r="Q24" s="166">
        <f t="shared" ref="Q24:Q52" si="10">(10^P24)*$D24</f>
        <v>0.40187899323067994</v>
      </c>
      <c r="R24" s="167">
        <f t="shared" ref="R24:R52" si="11">Q24/(SUM(Q$23:Q$52))</f>
        <v>0.28001747084254763</v>
      </c>
      <c r="S24" s="165">
        <f>-1.0783+LOG(1+$I$18*S$18)</f>
        <v>-1.02610155489319</v>
      </c>
      <c r="T24" s="166">
        <f t="shared" ref="T24:T52" si="12">(10^S24)*$D24</f>
        <v>0.3769127711526733</v>
      </c>
      <c r="U24" s="167">
        <f t="shared" ref="U24:U52" si="13">T24/(SUM(T$23:T$52))</f>
        <v>0.26943883279659642</v>
      </c>
      <c r="V24" s="165">
        <f>-1.0783+LOG(1+$I$18*V$18)</f>
        <v>-1.0407087327885813</v>
      </c>
      <c r="W24" s="166">
        <f t="shared" ref="W24:W52" si="14">(10^V24)*$D24</f>
        <v>0.36444640891788238</v>
      </c>
      <c r="X24" s="167">
        <f t="shared" ref="X24:X52" si="15">W24/(SUM(W$23:W$52))</f>
        <v>0.26379016594238452</v>
      </c>
      <c r="Y24" s="165">
        <f>-1.0783+LOG(1+$I$18*Y$18)</f>
        <v>-1.0620494687019637</v>
      </c>
      <c r="Z24" s="166">
        <f t="shared" ref="Z24:Z52" si="16">(10^Y24)*$D24</f>
        <v>0.34697080951153464</v>
      </c>
      <c r="AA24" s="167">
        <f t="shared" ref="AA24:AA52" si="17">Z24/(SUM(Z$23:Z$52))</f>
        <v>0.25541775215307827</v>
      </c>
      <c r="AB24" s="165">
        <f>-1.0783+LOG(1+$I$18*AB$18)</f>
        <v>-1.01</v>
      </c>
      <c r="AC24" s="166">
        <f t="shared" ref="AC24:AC52" si="18">(10^AB24)*$D24</f>
        <v>0.39114916550721696</v>
      </c>
      <c r="AD24" s="167">
        <f t="shared" ref="AD24:AD51" si="19">AC24/(SUM(AC$23:AC$52))</f>
        <v>0.27558895290240742</v>
      </c>
      <c r="AE24" s="165">
        <f>-1.0783+LOG(1+$I$18*AE$18)</f>
        <v>-1.01</v>
      </c>
      <c r="AF24" s="166">
        <f t="shared" ref="AF24:AF52" si="20">(10^AE24)*$D24</f>
        <v>0.39114916550721696</v>
      </c>
      <c r="AG24" s="167">
        <f t="shared" ref="AG24:AG52" si="21">AF24/(SUM(AF$23:AF$52))</f>
        <v>0.27558895290240742</v>
      </c>
      <c r="AH24" s="165">
        <f>-1.0783+LOG(1+$I$18*AH$18)</f>
        <v>-1.01</v>
      </c>
      <c r="AI24" s="166">
        <f t="shared" ref="AI24:AI52" si="22">(10^AH24)*$D24</f>
        <v>0.39114916550721696</v>
      </c>
      <c r="AJ24" s="167">
        <f t="shared" ref="AJ24:AJ52" si="23">AI24/(SUM(AI$23:AI$52))</f>
        <v>0.27558895290240742</v>
      </c>
      <c r="AK24" s="164"/>
    </row>
    <row r="25" spans="1:37">
      <c r="B25" s="50" t="s">
        <v>27</v>
      </c>
      <c r="C25" s="55">
        <v>3</v>
      </c>
      <c r="D25" s="53">
        <v>6.9409999999999998</v>
      </c>
      <c r="E25" s="161">
        <v>-8.7219999999999995</v>
      </c>
      <c r="F25" s="57">
        <f t="shared" si="7"/>
        <v>1.3165035799126567E-8</v>
      </c>
      <c r="G25" s="57">
        <f t="shared" si="8"/>
        <v>9.2755885365082327E-9</v>
      </c>
      <c r="H25" s="99" t="s">
        <v>36</v>
      </c>
      <c r="I25" s="98" t="s">
        <v>36</v>
      </c>
      <c r="J25" s="53" t="s">
        <v>36</v>
      </c>
      <c r="K25" s="21"/>
      <c r="L25" s="21"/>
      <c r="M25" s="287">
        <f>$E25</f>
        <v>-8.7219999999999995</v>
      </c>
      <c r="N25" s="9">
        <f>(10^M25)*$D25</f>
        <v>1.3165035799126567E-8</v>
      </c>
      <c r="O25" s="10">
        <f t="shared" si="9"/>
        <v>8.9055106137846903E-9</v>
      </c>
      <c r="P25" s="5">
        <f t="shared" ref="P25:AH25" si="24">$E25</f>
        <v>-8.7219999999999995</v>
      </c>
      <c r="Q25" s="9">
        <f t="shared" si="10"/>
        <v>1.3165035799126567E-8</v>
      </c>
      <c r="R25" s="10">
        <f t="shared" si="11"/>
        <v>9.1730100107695594E-9</v>
      </c>
      <c r="S25" s="5">
        <f t="shared" si="24"/>
        <v>-8.7219999999999995</v>
      </c>
      <c r="T25" s="9">
        <f t="shared" si="12"/>
        <v>1.3165035799126567E-8</v>
      </c>
      <c r="U25" s="10">
        <f t="shared" si="13"/>
        <v>9.4111214873248266E-9</v>
      </c>
      <c r="V25" s="5">
        <f t="shared" si="24"/>
        <v>-8.7219999999999995</v>
      </c>
      <c r="W25" s="9">
        <f t="shared" si="14"/>
        <v>1.3165035799126567E-8</v>
      </c>
      <c r="X25" s="10">
        <f t="shared" si="15"/>
        <v>9.5289921730893708E-9</v>
      </c>
      <c r="Y25" s="5">
        <f t="shared" si="24"/>
        <v>-8.7219999999999995</v>
      </c>
      <c r="Z25" s="9">
        <f t="shared" si="16"/>
        <v>1.3165035799126567E-8</v>
      </c>
      <c r="AA25" s="10">
        <f t="shared" si="17"/>
        <v>9.6912586265154601E-9</v>
      </c>
      <c r="AB25" s="5">
        <f t="shared" si="24"/>
        <v>-8.7219999999999995</v>
      </c>
      <c r="AC25" s="9">
        <f t="shared" si="18"/>
        <v>1.3165035799126567E-8</v>
      </c>
      <c r="AD25" s="10">
        <f t="shared" si="19"/>
        <v>9.2755878082962633E-9</v>
      </c>
      <c r="AE25" s="5">
        <f t="shared" si="24"/>
        <v>-8.7219999999999995</v>
      </c>
      <c r="AF25" s="9">
        <f t="shared" si="20"/>
        <v>1.3165035799126567E-8</v>
      </c>
      <c r="AG25" s="10">
        <f t="shared" si="21"/>
        <v>9.2755878082962633E-9</v>
      </c>
      <c r="AH25" s="5">
        <f t="shared" si="24"/>
        <v>-8.7219999999999995</v>
      </c>
      <c r="AI25" s="9">
        <f t="shared" si="22"/>
        <v>1.3165035799126567E-8</v>
      </c>
      <c r="AJ25" s="10">
        <f t="shared" si="23"/>
        <v>9.2755878082962633E-9</v>
      </c>
    </row>
    <row r="26" spans="1:37">
      <c r="B26" s="50" t="s">
        <v>28</v>
      </c>
      <c r="C26" s="55">
        <v>4</v>
      </c>
      <c r="D26" s="53">
        <v>9.0121819999999992</v>
      </c>
      <c r="E26" s="161">
        <v>-10.68</v>
      </c>
      <c r="F26" s="57">
        <f t="shared" si="7"/>
        <v>1.8829116983152398E-10</v>
      </c>
      <c r="G26" s="57">
        <f t="shared" si="8"/>
        <v>1.3266286875808426E-10</v>
      </c>
      <c r="H26" s="99" t="s">
        <v>36</v>
      </c>
      <c r="I26" s="98" t="s">
        <v>36</v>
      </c>
      <c r="J26" s="53" t="s">
        <v>36</v>
      </c>
      <c r="K26" s="21"/>
      <c r="L26" s="21"/>
      <c r="M26" s="287">
        <f>$E26</f>
        <v>-10.68</v>
      </c>
      <c r="N26" s="9">
        <f t="shared" ref="N26:N52" si="25">(10^M26)*$D26</f>
        <v>1.8829116983152398E-10</v>
      </c>
      <c r="O26" s="10">
        <f t="shared" si="9"/>
        <v>1.2736987859370815E-10</v>
      </c>
      <c r="P26" s="5">
        <f t="shared" ref="P26:AH27" si="26">$E26</f>
        <v>-10.68</v>
      </c>
      <c r="Q26" s="9">
        <f t="shared" si="10"/>
        <v>1.8829116983152398E-10</v>
      </c>
      <c r="R26" s="10">
        <f t="shared" si="11"/>
        <v>1.3119575306575858E-10</v>
      </c>
      <c r="S26" s="5">
        <f t="shared" si="26"/>
        <v>-10.68</v>
      </c>
      <c r="T26" s="9">
        <f t="shared" si="12"/>
        <v>1.8829116983152398E-10</v>
      </c>
      <c r="U26" s="10">
        <f t="shared" si="13"/>
        <v>1.3460131072279719E-10</v>
      </c>
      <c r="V26" s="5">
        <f t="shared" si="26"/>
        <v>-10.68</v>
      </c>
      <c r="W26" s="9">
        <f t="shared" si="14"/>
        <v>1.8829116983152398E-10</v>
      </c>
      <c r="X26" s="10">
        <f t="shared" si="15"/>
        <v>1.3628714049569628E-10</v>
      </c>
      <c r="Y26" s="5">
        <f t="shared" si="26"/>
        <v>-10.68</v>
      </c>
      <c r="Z26" s="9">
        <f t="shared" si="16"/>
        <v>1.8829116983152398E-10</v>
      </c>
      <c r="AA26" s="10">
        <f t="shared" si="17"/>
        <v>1.3860793481833972E-10</v>
      </c>
      <c r="AB26" s="5">
        <f t="shared" si="26"/>
        <v>-10.68</v>
      </c>
      <c r="AC26" s="9">
        <f t="shared" si="18"/>
        <v>1.8829116983152398E-10</v>
      </c>
      <c r="AD26" s="10">
        <f t="shared" si="19"/>
        <v>1.3266285834292961E-10</v>
      </c>
      <c r="AE26" s="5">
        <f t="shared" si="26"/>
        <v>-10.68</v>
      </c>
      <c r="AF26" s="9">
        <f t="shared" si="20"/>
        <v>1.8829116983152398E-10</v>
      </c>
      <c r="AG26" s="10">
        <f t="shared" si="21"/>
        <v>1.3266285834292961E-10</v>
      </c>
      <c r="AH26" s="5">
        <f t="shared" si="26"/>
        <v>-10.68</v>
      </c>
      <c r="AI26" s="9">
        <f t="shared" si="22"/>
        <v>1.8829116983152398E-10</v>
      </c>
      <c r="AJ26" s="10">
        <f t="shared" si="23"/>
        <v>1.3266285834292961E-10</v>
      </c>
    </row>
    <row r="27" spans="1:37">
      <c r="B27" s="50" t="s">
        <v>34</v>
      </c>
      <c r="C27" s="55">
        <v>5</v>
      </c>
      <c r="D27" s="53">
        <v>10.811</v>
      </c>
      <c r="E27" s="161">
        <v>-9.1929999999999996</v>
      </c>
      <c r="F27" s="57">
        <f t="shared" si="7"/>
        <v>6.9321167324621858E-9</v>
      </c>
      <c r="G27" s="57">
        <f t="shared" si="8"/>
        <v>4.8841084428824036E-9</v>
      </c>
      <c r="H27" s="99" t="s">
        <v>36</v>
      </c>
      <c r="I27" s="98" t="s">
        <v>36</v>
      </c>
      <c r="J27" s="53" t="s">
        <v>36</v>
      </c>
      <c r="K27" s="21"/>
      <c r="L27" s="21"/>
      <c r="M27" s="287">
        <f>$E27</f>
        <v>-9.1929999999999996</v>
      </c>
      <c r="N27" s="9">
        <f t="shared" si="25"/>
        <v>6.9321167324621858E-9</v>
      </c>
      <c r="O27" s="10">
        <f t="shared" si="9"/>
        <v>4.6892420255349539E-9</v>
      </c>
      <c r="P27" s="5">
        <f t="shared" si="26"/>
        <v>-9.1929999999999996</v>
      </c>
      <c r="Q27" s="9">
        <f t="shared" si="10"/>
        <v>6.9321167324621858E-9</v>
      </c>
      <c r="R27" s="10">
        <f t="shared" si="11"/>
        <v>4.8300951970763018E-9</v>
      </c>
      <c r="S27" s="5">
        <f t="shared" si="26"/>
        <v>-9.1929999999999996</v>
      </c>
      <c r="T27" s="9">
        <f t="shared" si="12"/>
        <v>6.9321167324621858E-9</v>
      </c>
      <c r="U27" s="10">
        <f t="shared" si="13"/>
        <v>4.955474009257698E-9</v>
      </c>
      <c r="V27" s="5">
        <f t="shared" si="26"/>
        <v>-9.1929999999999996</v>
      </c>
      <c r="W27" s="9">
        <f t="shared" si="14"/>
        <v>6.9321167324621858E-9</v>
      </c>
      <c r="X27" s="10">
        <f t="shared" si="15"/>
        <v>5.017539419904693E-9</v>
      </c>
      <c r="Y27" s="5">
        <f t="shared" si="26"/>
        <v>-9.1929999999999996</v>
      </c>
      <c r="Z27" s="9">
        <f t="shared" si="16"/>
        <v>6.9321167324621858E-9</v>
      </c>
      <c r="AA27" s="10">
        <f t="shared" si="17"/>
        <v>5.1029816484010948E-9</v>
      </c>
      <c r="AB27" s="5">
        <f t="shared" si="26"/>
        <v>-9.1929999999999996</v>
      </c>
      <c r="AC27" s="9">
        <f t="shared" si="18"/>
        <v>6.9321167324621858E-9</v>
      </c>
      <c r="AD27" s="10">
        <f t="shared" si="19"/>
        <v>4.8841080594386782E-9</v>
      </c>
      <c r="AE27" s="5">
        <f t="shared" si="26"/>
        <v>-9.1929999999999996</v>
      </c>
      <c r="AF27" s="9">
        <f t="shared" si="20"/>
        <v>6.9321167324621858E-9</v>
      </c>
      <c r="AG27" s="10">
        <f t="shared" si="21"/>
        <v>4.8841080594386782E-9</v>
      </c>
      <c r="AH27" s="5">
        <f t="shared" si="26"/>
        <v>-9.1929999999999996</v>
      </c>
      <c r="AI27" s="9">
        <f t="shared" si="22"/>
        <v>6.9321167324621858E-9</v>
      </c>
      <c r="AJ27" s="10">
        <f t="shared" si="23"/>
        <v>4.8841080594386782E-9</v>
      </c>
    </row>
    <row r="28" spans="1:37">
      <c r="B28" s="50" t="s">
        <v>25</v>
      </c>
      <c r="C28" s="55">
        <v>6</v>
      </c>
      <c r="D28" s="53">
        <v>12.0107</v>
      </c>
      <c r="E28" s="283">
        <v>-3.577</v>
      </c>
      <c r="F28" s="57">
        <f t="shared" si="7"/>
        <v>3.1810340614763467E-3</v>
      </c>
      <c r="G28" s="57">
        <f t="shared" si="8"/>
        <v>2.2412368279947858E-3</v>
      </c>
      <c r="H28" s="102">
        <v>6.3E-2</v>
      </c>
      <c r="I28" s="144">
        <f>H28-$H$30</f>
        <v>-0.437</v>
      </c>
      <c r="J28" s="293">
        <f t="shared" ref="J28" si="27">I28+J$30</f>
        <v>-0.34777635319290984</v>
      </c>
      <c r="K28" s="21"/>
      <c r="L28" s="21"/>
      <c r="M28" s="288">
        <f>IF(M$17&gt;$C$3,($H28/$C$2)*$C$3,IF(M$17&gt;$C$2,($H28/$C$2)*M$17,$H28))+$E28+M$17</f>
        <v>-3.1553499999999999</v>
      </c>
      <c r="N28" s="9">
        <f>(10^M28)*$D28</f>
        <v>8.3988208832903918E-3</v>
      </c>
      <c r="O28" s="10">
        <f>N28/(SUM(N$23:N$52))</f>
        <v>5.6813965157908198E-3</v>
      </c>
      <c r="P28" s="274">
        <f t="shared" ref="P28:P52" si="28">IF(P$17&gt;$C$3,($H28/$C$2)*$C$3,IF(P$17&gt;$C$2,($H28/$C$2)*P$17,$H28))+$E28+P$17</f>
        <v>-3.4364499999999998</v>
      </c>
      <c r="Q28" s="9">
        <f>(10^P28)*$D28</f>
        <v>4.3966138069942646E-3</v>
      </c>
      <c r="R28" s="10">
        <f>Q28/(SUM(Q$23:Q$52))</f>
        <v>3.0634312796720049E-3</v>
      </c>
      <c r="S28" s="5">
        <f t="shared" ref="S28:S52" si="29">IF(S$17&gt;$C$3,($H28/$C$2)*$C$3,IF(S$17&gt;$C$2,($H28/$C$2)*S$17,$H28))+$E28+S$17</f>
        <v>-3.8112499999999998</v>
      </c>
      <c r="T28" s="9">
        <f t="shared" ref="T28" si="30">(10^S28)*$D28</f>
        <v>1.8548906814030955E-3</v>
      </c>
      <c r="U28" s="10">
        <f t="shared" ref="U28" si="31">T28/(SUM(T$23:T$52))</f>
        <v>1.3259820797106696E-3</v>
      </c>
      <c r="V28" s="5">
        <f t="shared" ref="V28:V52" si="32">IF(V$17&gt;$C$3,($H28/$C$2)*$C$3,IF(V$17&gt;$C$2,($H28/$C$2)*V$17,$H28))+$E28+V$17</f>
        <v>-4.0923499999999997</v>
      </c>
      <c r="W28" s="9">
        <f t="shared" ref="W28" si="33">(10^V28)*$D28</f>
        <v>9.709979643150676E-4</v>
      </c>
      <c r="X28" s="10">
        <f t="shared" ref="X28" si="34">W28/(SUM(W$23:W$52))</f>
        <v>7.0281859793027356E-4</v>
      </c>
      <c r="Y28" s="5">
        <f t="shared" ref="Y28:Y52" si="35">IF(Y$17&gt;$C$3,($H28/$C$2)*$C$3,IF(Y$17&gt;$C$2,($H28/$C$2)*Y$17,$H28))+$E28+Y$17</f>
        <v>-4.6639999999999997</v>
      </c>
      <c r="Z28" s="9">
        <f t="shared" ref="Z28" si="36">(10^Y28)*$D28</f>
        <v>2.6035643691757883E-4</v>
      </c>
      <c r="AA28" s="10">
        <f t="shared" ref="AA28" si="37">Z28/(SUM(Z$23:Z$52))</f>
        <v>1.9165778230650267E-4</v>
      </c>
      <c r="AB28" s="5">
        <f t="shared" ref="AB28:AB52" si="38">IF(AB$17&gt;$C$3,($H28/$C$2)*$C$3,IF(AB$17&gt;$C$2,($H28/$C$2)*AB$17,$H28))+$E28+AB$17</f>
        <v>-3.577</v>
      </c>
      <c r="AC28" s="9">
        <f t="shared" ref="AC28" si="39">(10^AB28)*$D28</f>
        <v>3.1810340614763467E-3</v>
      </c>
      <c r="AD28" s="10">
        <f t="shared" ref="AD28" si="40">AC28/(SUM(AC$23:AC$52))</f>
        <v>2.2412366520387825E-3</v>
      </c>
      <c r="AE28" s="5">
        <f t="shared" ref="AE28:AE52" si="41">IF(AE$17&gt;$C$3,($H28/$C$2)*$C$3,IF(AE$17&gt;$C$2,($H28/$C$2)*AE$17,$H28))+$E28+AE$17</f>
        <v>-3.577</v>
      </c>
      <c r="AF28" s="9">
        <f t="shared" ref="AF28" si="42">(10^AE28)*$D28</f>
        <v>3.1810340614763467E-3</v>
      </c>
      <c r="AG28" s="10">
        <f t="shared" ref="AG28" si="43">AF28/(SUM(AF$23:AF$52))</f>
        <v>2.2412366520387825E-3</v>
      </c>
      <c r="AH28" s="5">
        <f t="shared" ref="AH28:AH52" si="44">IF(AH$17&gt;$C$3,($H28/$C$2)*$C$3,IF(AH$17&gt;$C$2,($H28/$C$2)*AH$17,$H28))+$E28+AH$17</f>
        <v>-3.577</v>
      </c>
      <c r="AI28" s="9">
        <f t="shared" ref="AI28" si="45">(10^AH28)*$D28</f>
        <v>3.1810340614763467E-3</v>
      </c>
      <c r="AJ28" s="10">
        <f t="shared" ref="AJ28" si="46">AI28/(SUM(AI$23:AI$52))</f>
        <v>2.2412366520387825E-3</v>
      </c>
    </row>
    <row r="29" spans="1:37">
      <c r="A29" s="272" t="s">
        <v>87</v>
      </c>
      <c r="B29" s="262" t="s">
        <v>26</v>
      </c>
      <c r="C29" s="263">
        <v>7</v>
      </c>
      <c r="D29" s="264">
        <v>14.0067</v>
      </c>
      <c r="E29" s="265">
        <v>-4.21</v>
      </c>
      <c r="F29" s="266">
        <f t="shared" si="7"/>
        <v>8.6364612125732182E-4</v>
      </c>
      <c r="G29" s="266">
        <f t="shared" si="8"/>
        <v>6.0849253918972941E-4</v>
      </c>
      <c r="H29" s="300">
        <v>-0.26400000000000001</v>
      </c>
      <c r="I29" s="301">
        <f>H29-$H$30</f>
        <v>-0.76400000000000001</v>
      </c>
      <c r="J29" s="302">
        <f t="shared" ref="J29:J53" si="47">I29+J$30</f>
        <v>-0.67477635319290985</v>
      </c>
      <c r="K29" s="271"/>
      <c r="L29" s="303" t="s">
        <v>89</v>
      </c>
      <c r="M29" s="306">
        <f>$E29+LOG(10^(-0.764) + 10^(M19-0.082))+M19</f>
        <v>-3.7912801891058696</v>
      </c>
      <c r="N29" s="267">
        <f t="shared" si="25"/>
        <v>2.2649344514257676E-3</v>
      </c>
      <c r="O29" s="268">
        <f t="shared" si="9"/>
        <v>1.5321187199534225E-3</v>
      </c>
      <c r="P29" s="307">
        <f>$E29+LOG(10^(-0.764) + 10^(P19-0.082))+P19</f>
        <v>-4.0719678000066022</v>
      </c>
      <c r="Q29" s="267">
        <f t="shared" si="10"/>
        <v>1.1867740101546244E-3</v>
      </c>
      <c r="R29" s="268">
        <f t="shared" si="11"/>
        <v>8.2690924975621822E-4</v>
      </c>
      <c r="S29" s="307">
        <f>$E29+LOG(10^(-0.764) + 10^(S19-0.082))+S19</f>
        <v>-4.4356962040897487</v>
      </c>
      <c r="T29" s="267">
        <f t="shared" si="12"/>
        <v>5.1361727551735498E-4</v>
      </c>
      <c r="U29" s="268">
        <f t="shared" si="13"/>
        <v>3.6716304092415056E-4</v>
      </c>
      <c r="V29" s="307">
        <f>$E29+LOG(10^(-0.764) + 10^(V19-0.082))+V19</f>
        <v>-4.6984413047704852</v>
      </c>
      <c r="W29" s="267">
        <f t="shared" si="14"/>
        <v>2.8047523599913481E-4</v>
      </c>
      <c r="X29" s="268">
        <f t="shared" si="15"/>
        <v>2.030109427243993E-4</v>
      </c>
      <c r="Y29" s="307">
        <f>$E29+LOG(10^(-0.764) + 10^(Y19-0.082))+Y19</f>
        <v>-5.3066753400923412</v>
      </c>
      <c r="Z29" s="267">
        <f t="shared" si="16"/>
        <v>6.9129033784789983E-5</v>
      </c>
      <c r="AA29" s="268">
        <f t="shared" si="17"/>
        <v>5.088838004177491E-5</v>
      </c>
      <c r="AB29" s="307">
        <f>$E29+LOG(10^(-0.764) + 10^(AB19-0.082))+AB19</f>
        <v>-4.209943970414467</v>
      </c>
      <c r="AC29" s="267">
        <f t="shared" si="18"/>
        <v>8.6375754992570615E-4</v>
      </c>
      <c r="AD29" s="268">
        <f t="shared" si="19"/>
        <v>6.0857099985601841E-4</v>
      </c>
      <c r="AE29" s="307">
        <f>$E29+LOG(10^(-0.764) + 10^(AE19-0.082))+AE19</f>
        <v>-4.209943970414467</v>
      </c>
      <c r="AF29" s="267">
        <f t="shared" si="20"/>
        <v>8.6375754992570615E-4</v>
      </c>
      <c r="AG29" s="268">
        <f t="shared" si="21"/>
        <v>6.0857099985601841E-4</v>
      </c>
      <c r="AH29" s="307">
        <f>$E29+LOG(10^(-0.764) + 10^(AH19-0.082))+AH19</f>
        <v>-4.209943970414467</v>
      </c>
      <c r="AI29" s="267">
        <f t="shared" si="22"/>
        <v>8.6375754992570615E-4</v>
      </c>
      <c r="AJ29" s="268">
        <f t="shared" si="23"/>
        <v>6.0857099985601841E-4</v>
      </c>
    </row>
    <row r="30" spans="1:37">
      <c r="B30" s="168" t="s">
        <v>5</v>
      </c>
      <c r="C30" s="169">
        <v>8</v>
      </c>
      <c r="D30" s="170">
        <v>15.9994</v>
      </c>
      <c r="E30" s="275">
        <v>-3.24</v>
      </c>
      <c r="F30" s="171">
        <f t="shared" si="7"/>
        <v>9.2066937334320982E-3</v>
      </c>
      <c r="G30" s="171">
        <f t="shared" si="8"/>
        <v>6.4866897558023074E-3</v>
      </c>
      <c r="H30" s="173">
        <v>0.5</v>
      </c>
      <c r="I30" s="59">
        <v>0</v>
      </c>
      <c r="J30" s="294">
        <f>B58</f>
        <v>8.9223646807090162E-2</v>
      </c>
      <c r="K30" s="207"/>
      <c r="L30"/>
      <c r="M30" s="287">
        <f t="shared" ref="M30:M52" si="48">IF(M$17&gt;$C$3,($H30/$C$2)*$C$3,IF(M$17&gt;$C$2,($H30/$C$2)*M$17,$H30))+$E30+M$17</f>
        <v>-3.0150000000000001</v>
      </c>
      <c r="N30" s="9">
        <f t="shared" si="25"/>
        <v>1.545623443330961E-2</v>
      </c>
      <c r="O30" s="10">
        <f t="shared" si="9"/>
        <v>1.0455395784348358E-2</v>
      </c>
      <c r="P30" s="305">
        <f t="shared" si="28"/>
        <v>-3.165</v>
      </c>
      <c r="Q30" s="9">
        <f t="shared" si="10"/>
        <v>1.094217600951449E-2</v>
      </c>
      <c r="R30" s="10">
        <f t="shared" si="11"/>
        <v>7.6241866415234618E-3</v>
      </c>
      <c r="S30" s="5">
        <f t="shared" si="29"/>
        <v>-3.3650000000000002</v>
      </c>
      <c r="T30" s="9">
        <f t="shared" si="12"/>
        <v>6.9040463177981364E-3</v>
      </c>
      <c r="U30" s="10">
        <f t="shared" si="13"/>
        <v>4.9354076693985628E-3</v>
      </c>
      <c r="V30" s="5">
        <f t="shared" si="32"/>
        <v>-3.5150000000000001</v>
      </c>
      <c r="W30" s="9">
        <f t="shared" si="14"/>
        <v>4.8876904858780271E-3</v>
      </c>
      <c r="X30" s="10">
        <f t="shared" si="15"/>
        <v>3.5377620763860822E-3</v>
      </c>
      <c r="Y30" s="5">
        <f t="shared" si="35"/>
        <v>-3.8899999999999997</v>
      </c>
      <c r="Z30" s="9">
        <f t="shared" si="16"/>
        <v>2.0611219877359121E-3</v>
      </c>
      <c r="AA30" s="10">
        <f t="shared" si="17"/>
        <v>1.5172663826156538E-3</v>
      </c>
      <c r="AB30" s="5">
        <f t="shared" si="38"/>
        <v>-3.24</v>
      </c>
      <c r="AC30" s="9">
        <f t="shared" si="18"/>
        <v>9.2066937334320982E-3</v>
      </c>
      <c r="AD30" s="10">
        <f t="shared" si="19"/>
        <v>6.4866892465424257E-3</v>
      </c>
      <c r="AE30" s="5">
        <f t="shared" si="41"/>
        <v>-3.24</v>
      </c>
      <c r="AF30" s="9">
        <f t="shared" si="20"/>
        <v>9.2066937334320982E-3</v>
      </c>
      <c r="AG30" s="10">
        <f t="shared" si="21"/>
        <v>6.4866892465424257E-3</v>
      </c>
      <c r="AH30" s="5">
        <f t="shared" si="44"/>
        <v>-3.24</v>
      </c>
      <c r="AI30" s="9">
        <f t="shared" si="22"/>
        <v>9.2066937334320982E-3</v>
      </c>
      <c r="AJ30" s="10">
        <f t="shared" si="23"/>
        <v>6.4866892465424257E-3</v>
      </c>
    </row>
    <row r="31" spans="1:37">
      <c r="B31" s="50" t="s">
        <v>29</v>
      </c>
      <c r="C31" s="55">
        <v>9</v>
      </c>
      <c r="D31" s="53">
        <v>18.9984</v>
      </c>
      <c r="E31" s="161">
        <v>-7.56</v>
      </c>
      <c r="F31" s="57">
        <f t="shared" si="7"/>
        <v>5.2325938597499695E-7</v>
      </c>
      <c r="G31" s="57">
        <f t="shared" si="8"/>
        <v>3.6866886168984256E-7</v>
      </c>
      <c r="H31" s="145">
        <v>0.5</v>
      </c>
      <c r="I31" s="144">
        <f>H31-$H$30</f>
        <v>0</v>
      </c>
      <c r="J31" s="293">
        <f t="shared" si="47"/>
        <v>8.9223646807090162E-2</v>
      </c>
      <c r="K31"/>
      <c r="L31"/>
      <c r="M31" s="287">
        <f t="shared" si="48"/>
        <v>-7.335</v>
      </c>
      <c r="N31" s="9">
        <f>(10^M31)*$D31</f>
        <v>8.7844995969516988E-7</v>
      </c>
      <c r="O31" s="10">
        <f t="shared" si="9"/>
        <v>5.9422895304721368E-7</v>
      </c>
      <c r="P31" s="5">
        <f t="shared" si="28"/>
        <v>-7.4849999999999994</v>
      </c>
      <c r="Q31" s="9">
        <f t="shared" si="10"/>
        <v>6.2189494575861225E-7</v>
      </c>
      <c r="R31" s="10">
        <f t="shared" si="11"/>
        <v>4.3331812006688328E-7</v>
      </c>
      <c r="S31" s="5">
        <f t="shared" si="29"/>
        <v>-7.6849999999999996</v>
      </c>
      <c r="T31" s="9">
        <f t="shared" si="12"/>
        <v>3.923891835215071E-7</v>
      </c>
      <c r="U31" s="10">
        <f t="shared" si="13"/>
        <v>2.8050225861733703E-7</v>
      </c>
      <c r="V31" s="5">
        <f t="shared" si="32"/>
        <v>-7.835</v>
      </c>
      <c r="W31" s="9">
        <f t="shared" si="14"/>
        <v>2.7779026831198422E-7</v>
      </c>
      <c r="X31" s="10">
        <f t="shared" si="15"/>
        <v>2.0106753471045732E-7</v>
      </c>
      <c r="Y31" s="5">
        <f t="shared" si="35"/>
        <v>-8.2099999999999991</v>
      </c>
      <c r="Z31" s="9">
        <f t="shared" si="16"/>
        <v>1.1714318483365185E-7</v>
      </c>
      <c r="AA31" s="10">
        <f t="shared" si="17"/>
        <v>8.6233331825192797E-8</v>
      </c>
      <c r="AB31" s="5">
        <f t="shared" si="38"/>
        <v>-7.56</v>
      </c>
      <c r="AC31" s="9">
        <f t="shared" si="18"/>
        <v>5.2325938597499695E-7</v>
      </c>
      <c r="AD31" s="10">
        <f t="shared" si="19"/>
        <v>3.6866883274622605E-7</v>
      </c>
      <c r="AE31" s="5">
        <f t="shared" si="41"/>
        <v>-7.56</v>
      </c>
      <c r="AF31" s="9">
        <f t="shared" si="20"/>
        <v>5.2325938597499695E-7</v>
      </c>
      <c r="AG31" s="10">
        <f t="shared" si="21"/>
        <v>3.6866883274622605E-7</v>
      </c>
      <c r="AH31" s="5">
        <f t="shared" si="44"/>
        <v>-7.56</v>
      </c>
      <c r="AI31" s="9">
        <f t="shared" si="22"/>
        <v>5.2325938597499695E-7</v>
      </c>
      <c r="AJ31" s="10">
        <f t="shared" si="23"/>
        <v>3.6866883274622605E-7</v>
      </c>
    </row>
    <row r="32" spans="1:37">
      <c r="B32" s="50" t="s">
        <v>30</v>
      </c>
      <c r="C32" s="55">
        <v>10</v>
      </c>
      <c r="D32" s="53">
        <v>20.1797</v>
      </c>
      <c r="E32" s="161">
        <v>-3.91</v>
      </c>
      <c r="F32" s="57">
        <f t="shared" si="7"/>
        <v>2.4826454714362576E-3</v>
      </c>
      <c r="G32" s="57">
        <f t="shared" si="8"/>
        <v>1.7491785230539228E-3</v>
      </c>
      <c r="H32" s="145">
        <v>0.5</v>
      </c>
      <c r="I32" s="144">
        <f t="shared" ref="I32:I52" si="49">H32-$H$30</f>
        <v>0</v>
      </c>
      <c r="J32" s="293">
        <f t="shared" si="47"/>
        <v>8.9223646807090162E-2</v>
      </c>
      <c r="K32"/>
      <c r="L32"/>
      <c r="M32" s="287">
        <f>IF(M$17&gt;$C$3,($H32/$C$2)*$C$3,IF(M$17&gt;$C$2,($H32/$C$2)*M$17,$H32))+$E32+M$17</f>
        <v>-3.6850000000000005</v>
      </c>
      <c r="N32" s="9">
        <f t="shared" si="25"/>
        <v>4.1678751930209652E-3</v>
      </c>
      <c r="O32" s="10">
        <f t="shared" si="9"/>
        <v>2.8193661859119779E-3</v>
      </c>
      <c r="P32" s="5">
        <f t="shared" si="28"/>
        <v>-3.835</v>
      </c>
      <c r="Q32" s="9">
        <f t="shared" si="10"/>
        <v>2.9506296727384216E-3</v>
      </c>
      <c r="R32" s="10">
        <f t="shared" si="11"/>
        <v>2.0559120338965544E-3</v>
      </c>
      <c r="S32" s="5">
        <f t="shared" si="29"/>
        <v>-4.0350000000000001</v>
      </c>
      <c r="T32" s="9">
        <f t="shared" si="12"/>
        <v>1.8617214628554963E-3</v>
      </c>
      <c r="U32" s="10">
        <f t="shared" si="13"/>
        <v>1.3308651134587566E-3</v>
      </c>
      <c r="V32" s="5">
        <f t="shared" si="32"/>
        <v>-4.1850000000000005</v>
      </c>
      <c r="W32" s="9">
        <f t="shared" si="14"/>
        <v>1.3179978613260162E-3</v>
      </c>
      <c r="X32" s="10">
        <f t="shared" si="15"/>
        <v>9.5398079400265485E-4</v>
      </c>
      <c r="Y32" s="5">
        <f t="shared" si="35"/>
        <v>-4.5599999999999996</v>
      </c>
      <c r="Z32" s="9">
        <f t="shared" si="16"/>
        <v>5.5579508964753146E-4</v>
      </c>
      <c r="AA32" s="10">
        <f t="shared" si="17"/>
        <v>4.0914085151815005E-4</v>
      </c>
      <c r="AB32" s="5">
        <f t="shared" si="38"/>
        <v>-3.91</v>
      </c>
      <c r="AC32" s="9">
        <f t="shared" si="18"/>
        <v>2.4826454714362576E-3</v>
      </c>
      <c r="AD32" s="10">
        <f t="shared" si="19"/>
        <v>1.7491783857286488E-3</v>
      </c>
      <c r="AE32" s="5">
        <f t="shared" si="41"/>
        <v>-3.91</v>
      </c>
      <c r="AF32" s="9">
        <f t="shared" si="20"/>
        <v>2.4826454714362576E-3</v>
      </c>
      <c r="AG32" s="10">
        <f t="shared" si="21"/>
        <v>1.7491783857286488E-3</v>
      </c>
      <c r="AH32" s="5">
        <f t="shared" si="44"/>
        <v>-3.91</v>
      </c>
      <c r="AI32" s="9">
        <f t="shared" si="22"/>
        <v>2.4826454714362576E-3</v>
      </c>
      <c r="AJ32" s="10">
        <f t="shared" si="23"/>
        <v>1.7491783857286488E-3</v>
      </c>
    </row>
    <row r="33" spans="2:36">
      <c r="B33" s="50" t="s">
        <v>6</v>
      </c>
      <c r="C33" s="55">
        <v>11</v>
      </c>
      <c r="D33" s="53">
        <v>22.98977</v>
      </c>
      <c r="E33" s="161">
        <v>-5.79</v>
      </c>
      <c r="F33" s="57">
        <f t="shared" si="7"/>
        <v>3.7285041121959353E-5</v>
      </c>
      <c r="G33" s="57">
        <f t="shared" si="8"/>
        <v>2.62696361248808E-5</v>
      </c>
      <c r="H33" s="145">
        <v>0.2</v>
      </c>
      <c r="I33" s="144">
        <f t="shared" si="49"/>
        <v>-0.3</v>
      </c>
      <c r="J33" s="293">
        <f t="shared" si="47"/>
        <v>-0.21077635319290983</v>
      </c>
      <c r="K33"/>
      <c r="L33"/>
      <c r="M33" s="287">
        <f t="shared" si="48"/>
        <v>-5.43</v>
      </c>
      <c r="N33" s="9">
        <f t="shared" si="25"/>
        <v>8.5415094638413081E-5</v>
      </c>
      <c r="O33" s="10">
        <f t="shared" si="9"/>
        <v>5.777918446148682E-5</v>
      </c>
      <c r="P33" s="5">
        <f t="shared" si="28"/>
        <v>-5.67</v>
      </c>
      <c r="Q33" s="9">
        <f t="shared" si="10"/>
        <v>4.9151256706375684E-5</v>
      </c>
      <c r="R33" s="10">
        <f t="shared" si="11"/>
        <v>3.4247151066569924E-5</v>
      </c>
      <c r="S33" s="5">
        <f t="shared" si="29"/>
        <v>-5.99</v>
      </c>
      <c r="T33" s="9">
        <f t="shared" si="12"/>
        <v>2.3525270535146279E-5</v>
      </c>
      <c r="U33" s="10">
        <f t="shared" si="13"/>
        <v>1.6817210557310714E-5</v>
      </c>
      <c r="V33" s="5">
        <f t="shared" si="32"/>
        <v>-6.2299999999999995</v>
      </c>
      <c r="W33" s="9">
        <f t="shared" si="14"/>
        <v>1.3537380202584247E-5</v>
      </c>
      <c r="X33" s="10">
        <f t="shared" si="15"/>
        <v>9.7984989910258079E-6</v>
      </c>
      <c r="Y33" s="5">
        <f t="shared" si="35"/>
        <v>-6.7399999999999993</v>
      </c>
      <c r="Z33" s="9">
        <f t="shared" si="16"/>
        <v>4.183450420824606E-6</v>
      </c>
      <c r="AA33" s="10">
        <f t="shared" si="17"/>
        <v>3.0795890416117218E-6</v>
      </c>
      <c r="AB33" s="5">
        <f t="shared" si="38"/>
        <v>-5.79</v>
      </c>
      <c r="AC33" s="9">
        <f t="shared" si="18"/>
        <v>3.7285041121959353E-5</v>
      </c>
      <c r="AD33" s="10">
        <f t="shared" si="19"/>
        <v>2.6269634062492695E-5</v>
      </c>
      <c r="AE33" s="5">
        <f t="shared" si="41"/>
        <v>-5.79</v>
      </c>
      <c r="AF33" s="9">
        <f t="shared" si="20"/>
        <v>3.7285041121959353E-5</v>
      </c>
      <c r="AG33" s="10">
        <f t="shared" si="21"/>
        <v>2.6269634062492695E-5</v>
      </c>
      <c r="AH33" s="5">
        <f t="shared" si="44"/>
        <v>-5.79</v>
      </c>
      <c r="AI33" s="9">
        <f t="shared" si="22"/>
        <v>3.7285041121959353E-5</v>
      </c>
      <c r="AJ33" s="10">
        <f t="shared" si="23"/>
        <v>2.6269634062492695E-5</v>
      </c>
    </row>
    <row r="34" spans="2:36">
      <c r="B34" s="50" t="s">
        <v>7</v>
      </c>
      <c r="C34" s="55">
        <v>12</v>
      </c>
      <c r="D34" s="53">
        <v>24.305</v>
      </c>
      <c r="E34" s="161">
        <v>-4.4400000000000004</v>
      </c>
      <c r="F34" s="57">
        <f t="shared" si="7"/>
        <v>8.8246121211872967E-4</v>
      </c>
      <c r="G34" s="57">
        <f t="shared" si="8"/>
        <v>6.2174894378826562E-4</v>
      </c>
      <c r="H34" s="145">
        <v>0.4</v>
      </c>
      <c r="I34" s="144">
        <f t="shared" si="49"/>
        <v>-9.9999999999999978E-2</v>
      </c>
      <c r="J34" s="293">
        <f t="shared" si="47"/>
        <v>-1.0776353192909816E-2</v>
      </c>
      <c r="K34"/>
      <c r="L34"/>
      <c r="M34" s="287">
        <f t="shared" si="48"/>
        <v>-4.17</v>
      </c>
      <c r="N34" s="9">
        <f t="shared" si="25"/>
        <v>1.64321967169021E-3</v>
      </c>
      <c r="O34" s="10">
        <f t="shared" si="9"/>
        <v>1.1115587112940346E-3</v>
      </c>
      <c r="P34" s="5">
        <f t="shared" si="28"/>
        <v>-4.3500000000000005</v>
      </c>
      <c r="Q34" s="9">
        <f t="shared" si="10"/>
        <v>1.0856644707229128E-3</v>
      </c>
      <c r="R34" s="10">
        <f t="shared" si="11"/>
        <v>7.5645909439447413E-4</v>
      </c>
      <c r="S34" s="5">
        <f t="shared" si="29"/>
        <v>-4.5900000000000007</v>
      </c>
      <c r="T34" s="9">
        <f t="shared" si="12"/>
        <v>6.2473469500197085E-4</v>
      </c>
      <c r="U34" s="10">
        <f t="shared" si="13"/>
        <v>4.4659613553048159E-4</v>
      </c>
      <c r="V34" s="5">
        <f t="shared" si="32"/>
        <v>-4.7700000000000005</v>
      </c>
      <c r="W34" s="9">
        <f t="shared" si="14"/>
        <v>4.1275811973082594E-4</v>
      </c>
      <c r="X34" s="10">
        <f t="shared" si="15"/>
        <v>2.987586932771631E-4</v>
      </c>
      <c r="Y34" s="5">
        <f t="shared" si="35"/>
        <v>-5.1899999999999995</v>
      </c>
      <c r="Z34" s="9">
        <f t="shared" si="16"/>
        <v>1.5692626036687299E-4</v>
      </c>
      <c r="AA34" s="10">
        <f t="shared" si="17"/>
        <v>1.1551909145649016E-4</v>
      </c>
      <c r="AB34" s="5">
        <f t="shared" si="38"/>
        <v>-4.4400000000000004</v>
      </c>
      <c r="AC34" s="9">
        <f t="shared" si="18"/>
        <v>8.8246121211872967E-4</v>
      </c>
      <c r="AD34" s="10">
        <f t="shared" si="19"/>
        <v>6.2174889497572708E-4</v>
      </c>
      <c r="AE34" s="5">
        <f t="shared" si="41"/>
        <v>-4.4400000000000004</v>
      </c>
      <c r="AF34" s="9">
        <f t="shared" si="20"/>
        <v>8.8246121211872967E-4</v>
      </c>
      <c r="AG34" s="10">
        <f t="shared" si="21"/>
        <v>6.2174889497572708E-4</v>
      </c>
      <c r="AH34" s="5">
        <f t="shared" si="44"/>
        <v>-4.4400000000000004</v>
      </c>
      <c r="AI34" s="9">
        <f t="shared" si="22"/>
        <v>8.8246121211872967E-4</v>
      </c>
      <c r="AJ34" s="10">
        <f t="shared" si="23"/>
        <v>6.2174889497572708E-4</v>
      </c>
    </row>
    <row r="35" spans="2:36">
      <c r="B35" s="50" t="s">
        <v>8</v>
      </c>
      <c r="C35" s="55">
        <v>13</v>
      </c>
      <c r="D35" s="53">
        <v>26.981539999999999</v>
      </c>
      <c r="E35" s="161">
        <v>-5.57</v>
      </c>
      <c r="F35" s="57">
        <f t="shared" si="7"/>
        <v>7.2621753973546094E-5</v>
      </c>
      <c r="G35" s="57">
        <f t="shared" si="8"/>
        <v>5.1166553508562116E-5</v>
      </c>
      <c r="H35" s="145">
        <v>0.4</v>
      </c>
      <c r="I35" s="144">
        <f t="shared" si="49"/>
        <v>-9.9999999999999978E-2</v>
      </c>
      <c r="J35" s="293">
        <f t="shared" si="47"/>
        <v>-1.0776353192909816E-2</v>
      </c>
      <c r="K35"/>
      <c r="L35"/>
      <c r="M35" s="287">
        <f t="shared" si="48"/>
        <v>-5.3</v>
      </c>
      <c r="N35" s="9">
        <f t="shared" si="25"/>
        <v>1.3522803391603582E-4</v>
      </c>
      <c r="O35" s="10">
        <f t="shared" si="9"/>
        <v>9.1475231035861707E-5</v>
      </c>
      <c r="P35" s="5">
        <f t="shared" si="28"/>
        <v>-5.48</v>
      </c>
      <c r="Q35" s="9">
        <f t="shared" si="10"/>
        <v>8.9344275995273663E-5</v>
      </c>
      <c r="R35" s="10">
        <f t="shared" si="11"/>
        <v>6.2252465592533914E-5</v>
      </c>
      <c r="S35" s="5">
        <f t="shared" si="29"/>
        <v>-5.7200000000000006</v>
      </c>
      <c r="T35" s="9">
        <f t="shared" si="12"/>
        <v>5.141226458015395E-5</v>
      </c>
      <c r="U35" s="10">
        <f t="shared" si="13"/>
        <v>3.6752430854340463E-5</v>
      </c>
      <c r="V35" s="5">
        <f t="shared" si="32"/>
        <v>-5.9</v>
      </c>
      <c r="W35" s="9">
        <f t="shared" si="14"/>
        <v>3.3967746355340712E-5</v>
      </c>
      <c r="X35" s="10">
        <f t="shared" si="15"/>
        <v>2.4586214127803669E-5</v>
      </c>
      <c r="Y35" s="5">
        <f t="shared" si="35"/>
        <v>-6.3199999999999994</v>
      </c>
      <c r="Z35" s="9">
        <f t="shared" si="16"/>
        <v>1.2914176981206957E-5</v>
      </c>
      <c r="AA35" s="10">
        <f t="shared" si="17"/>
        <v>9.5065923847903758E-6</v>
      </c>
      <c r="AB35" s="5">
        <f t="shared" si="38"/>
        <v>-5.57</v>
      </c>
      <c r="AC35" s="9">
        <f t="shared" si="18"/>
        <v>7.2621753973546094E-5</v>
      </c>
      <c r="AD35" s="10">
        <f t="shared" si="19"/>
        <v>5.1166549491555912E-5</v>
      </c>
      <c r="AE35" s="5">
        <f t="shared" si="41"/>
        <v>-5.57</v>
      </c>
      <c r="AF35" s="9">
        <f t="shared" si="20"/>
        <v>7.2621753973546094E-5</v>
      </c>
      <c r="AG35" s="10">
        <f t="shared" si="21"/>
        <v>5.1166549491555912E-5</v>
      </c>
      <c r="AH35" s="5">
        <f t="shared" si="44"/>
        <v>-5.57</v>
      </c>
      <c r="AI35" s="9">
        <f t="shared" si="22"/>
        <v>7.2621753973546094E-5</v>
      </c>
      <c r="AJ35" s="10">
        <f t="shared" si="23"/>
        <v>5.1166549491555912E-5</v>
      </c>
    </row>
    <row r="36" spans="2:36">
      <c r="B36" s="50" t="s">
        <v>9</v>
      </c>
      <c r="C36" s="55">
        <v>14</v>
      </c>
      <c r="D36" s="53">
        <v>28.0855</v>
      </c>
      <c r="E36" s="161">
        <v>-4.5</v>
      </c>
      <c r="F36" s="57">
        <f t="shared" si="7"/>
        <v>8.8814149224658893E-4</v>
      </c>
      <c r="G36" s="57">
        <f t="shared" si="8"/>
        <v>6.257510552934711E-4</v>
      </c>
      <c r="H36" s="145">
        <v>0.4</v>
      </c>
      <c r="I36" s="144">
        <f t="shared" si="49"/>
        <v>-9.9999999999999978E-2</v>
      </c>
      <c r="J36" s="293">
        <f t="shared" si="47"/>
        <v>-1.0776353192909816E-2</v>
      </c>
      <c r="K36"/>
      <c r="L36"/>
      <c r="M36" s="287">
        <f t="shared" si="48"/>
        <v>-4.2299999999999995</v>
      </c>
      <c r="N36" s="9">
        <f t="shared" si="25"/>
        <v>1.6537968482489384E-3</v>
      </c>
      <c r="O36" s="10">
        <f t="shared" si="9"/>
        <v>1.118713660171111E-3</v>
      </c>
      <c r="P36" s="5">
        <f t="shared" si="28"/>
        <v>-4.41</v>
      </c>
      <c r="Q36" s="9">
        <f t="shared" si="10"/>
        <v>1.0926527419736864E-3</v>
      </c>
      <c r="R36" s="10">
        <f t="shared" si="11"/>
        <v>7.6132831640947027E-4</v>
      </c>
      <c r="S36" s="5">
        <f t="shared" si="29"/>
        <v>-4.6500000000000004</v>
      </c>
      <c r="T36" s="9">
        <f t="shared" si="12"/>
        <v>6.2875602537261E-4</v>
      </c>
      <c r="U36" s="10">
        <f t="shared" si="13"/>
        <v>4.494708127616111E-4</v>
      </c>
      <c r="V36" s="5">
        <f t="shared" si="32"/>
        <v>-4.83</v>
      </c>
      <c r="W36" s="9">
        <f t="shared" si="14"/>
        <v>4.1541498635898111E-4</v>
      </c>
      <c r="X36" s="10">
        <f t="shared" si="15"/>
        <v>3.0068176144734709E-4</v>
      </c>
      <c r="Y36" s="5">
        <f t="shared" si="35"/>
        <v>-5.2499999999999991</v>
      </c>
      <c r="Z36" s="9">
        <f t="shared" si="16"/>
        <v>1.5793637288633557E-4</v>
      </c>
      <c r="AA36" s="10">
        <f t="shared" si="17"/>
        <v>1.1626267178679525E-4</v>
      </c>
      <c r="AB36" s="5">
        <f t="shared" si="38"/>
        <v>-4.5</v>
      </c>
      <c r="AC36" s="9">
        <f t="shared" si="18"/>
        <v>8.8814149224658893E-4</v>
      </c>
      <c r="AD36" s="10">
        <f t="shared" si="19"/>
        <v>6.2575100616673305E-4</v>
      </c>
      <c r="AE36" s="5">
        <f t="shared" si="41"/>
        <v>-4.5</v>
      </c>
      <c r="AF36" s="9">
        <f t="shared" si="20"/>
        <v>8.8814149224658893E-4</v>
      </c>
      <c r="AG36" s="10">
        <f t="shared" si="21"/>
        <v>6.2575100616673305E-4</v>
      </c>
      <c r="AH36" s="5">
        <f t="shared" si="44"/>
        <v>-4.5</v>
      </c>
      <c r="AI36" s="9">
        <f t="shared" si="22"/>
        <v>8.8814149224658893E-4</v>
      </c>
      <c r="AJ36" s="10">
        <f t="shared" si="23"/>
        <v>6.2575100616673305E-4</v>
      </c>
    </row>
    <row r="37" spans="2:36">
      <c r="B37" s="50" t="s">
        <v>10</v>
      </c>
      <c r="C37" s="55">
        <v>15</v>
      </c>
      <c r="D37" s="53">
        <v>30.973759999999999</v>
      </c>
      <c r="E37" s="161">
        <v>-6.59</v>
      </c>
      <c r="F37" s="57">
        <f t="shared" si="7"/>
        <v>7.9614822080494834E-6</v>
      </c>
      <c r="G37" s="57">
        <f t="shared" si="8"/>
        <v>5.6093605994977572E-6</v>
      </c>
      <c r="H37" s="145">
        <v>0</v>
      </c>
      <c r="I37" s="144">
        <f t="shared" si="49"/>
        <v>-0.5</v>
      </c>
      <c r="J37" s="293">
        <f t="shared" si="47"/>
        <v>-0.41077635319290984</v>
      </c>
      <c r="K37"/>
      <c r="L37"/>
      <c r="M37" s="287">
        <f t="shared" si="48"/>
        <v>-6.14</v>
      </c>
      <c r="N37" s="9">
        <f t="shared" si="25"/>
        <v>2.2438505562732324E-5</v>
      </c>
      <c r="O37" s="10">
        <f t="shared" si="9"/>
        <v>1.517856483608172E-5</v>
      </c>
      <c r="P37" s="5">
        <f t="shared" si="28"/>
        <v>-6.4399999999999995</v>
      </c>
      <c r="Q37" s="9">
        <f t="shared" si="10"/>
        <v>1.1245892529715967E-5</v>
      </c>
      <c r="R37" s="10">
        <f t="shared" si="11"/>
        <v>7.8358073862561952E-6</v>
      </c>
      <c r="S37" s="5">
        <f t="shared" si="29"/>
        <v>-6.84</v>
      </c>
      <c r="T37" s="9">
        <f t="shared" si="12"/>
        <v>4.4770704553539361E-6</v>
      </c>
      <c r="U37" s="10">
        <f t="shared" si="13"/>
        <v>3.20046634172039E-6</v>
      </c>
      <c r="V37" s="5">
        <f t="shared" si="32"/>
        <v>-7.14</v>
      </c>
      <c r="W37" s="9">
        <f t="shared" si="14"/>
        <v>2.2438505562732342E-6</v>
      </c>
      <c r="X37" s="10">
        <f t="shared" si="15"/>
        <v>1.6241227684111913E-6</v>
      </c>
      <c r="Y37" s="5">
        <f t="shared" si="35"/>
        <v>-7.7399999999999993</v>
      </c>
      <c r="Z37" s="9">
        <f t="shared" si="16"/>
        <v>5.6362977666379516E-7</v>
      </c>
      <c r="AA37" s="10">
        <f t="shared" si="17"/>
        <v>4.1490824777068827E-7</v>
      </c>
      <c r="AB37" s="5">
        <f t="shared" si="38"/>
        <v>-6.59</v>
      </c>
      <c r="AC37" s="9">
        <f t="shared" si="18"/>
        <v>7.9614822080494834E-6</v>
      </c>
      <c r="AD37" s="10">
        <f>AC37/(SUM(AC$23:AC$52))</f>
        <v>5.6093601591156175E-6</v>
      </c>
      <c r="AE37" s="5">
        <f t="shared" si="41"/>
        <v>-6.59</v>
      </c>
      <c r="AF37" s="9">
        <f t="shared" si="20"/>
        <v>7.9614822080494834E-6</v>
      </c>
      <c r="AG37" s="10">
        <f t="shared" si="21"/>
        <v>5.6093601591156175E-6</v>
      </c>
      <c r="AH37" s="5">
        <f t="shared" si="44"/>
        <v>-6.59</v>
      </c>
      <c r="AI37" s="9">
        <f t="shared" si="22"/>
        <v>7.9614822080494834E-6</v>
      </c>
      <c r="AJ37" s="10">
        <f t="shared" si="23"/>
        <v>5.6093601591156175E-6</v>
      </c>
    </row>
    <row r="38" spans="2:36">
      <c r="B38" s="50" t="s">
        <v>11</v>
      </c>
      <c r="C38" s="55">
        <v>16</v>
      </c>
      <c r="D38" s="53">
        <v>32.064999999999998</v>
      </c>
      <c r="E38" s="161">
        <v>-4.88</v>
      </c>
      <c r="F38" s="57">
        <f t="shared" si="7"/>
        <v>4.2269902321811131E-4</v>
      </c>
      <c r="G38" s="57">
        <f t="shared" si="8"/>
        <v>2.9781781637200442E-4</v>
      </c>
      <c r="H38" s="145">
        <v>0.4</v>
      </c>
      <c r="I38" s="144">
        <f t="shared" si="49"/>
        <v>-9.9999999999999978E-2</v>
      </c>
      <c r="J38" s="293">
        <f t="shared" si="47"/>
        <v>-1.0776353192909816E-2</v>
      </c>
      <c r="K38"/>
      <c r="L38"/>
      <c r="M38" s="287">
        <f t="shared" si="48"/>
        <v>-4.6099999999999994</v>
      </c>
      <c r="N38" s="9">
        <f t="shared" si="25"/>
        <v>7.8710241381440465E-4</v>
      </c>
      <c r="O38" s="10">
        <f t="shared" si="9"/>
        <v>5.3243675196270853E-4</v>
      </c>
      <c r="P38" s="5">
        <f t="shared" si="28"/>
        <v>-4.79</v>
      </c>
      <c r="Q38" s="9">
        <f t="shared" si="10"/>
        <v>5.2003340771814065E-4</v>
      </c>
      <c r="R38" s="10">
        <f t="shared" si="11"/>
        <v>3.6234399417657456E-4</v>
      </c>
      <c r="S38" s="5">
        <f t="shared" si="29"/>
        <v>-5.03</v>
      </c>
      <c r="T38" s="9">
        <f t="shared" si="12"/>
        <v>2.9924799155055465E-4</v>
      </c>
      <c r="U38" s="10">
        <f t="shared" si="13"/>
        <v>2.1391960084962835E-4</v>
      </c>
      <c r="V38" s="5">
        <f t="shared" si="32"/>
        <v>-5.21</v>
      </c>
      <c r="W38" s="9">
        <f t="shared" si="14"/>
        <v>1.977111873468839E-4</v>
      </c>
      <c r="X38" s="10">
        <f t="shared" si="15"/>
        <v>1.431054488196421E-4</v>
      </c>
      <c r="Y38" s="5">
        <f t="shared" si="35"/>
        <v>-5.629999999999999</v>
      </c>
      <c r="Z38" s="9">
        <f t="shared" si="16"/>
        <v>7.5167696963233322E-5</v>
      </c>
      <c r="AA38" s="10">
        <f t="shared" si="17"/>
        <v>5.5333658240303844E-5</v>
      </c>
      <c r="AB38" s="5">
        <f t="shared" si="38"/>
        <v>-4.88</v>
      </c>
      <c r="AC38" s="9">
        <f t="shared" si="18"/>
        <v>4.2269902321811131E-4</v>
      </c>
      <c r="AD38" s="10">
        <f t="shared" si="19"/>
        <v>2.9781779299079279E-4</v>
      </c>
      <c r="AE38" s="5">
        <f t="shared" si="41"/>
        <v>-4.88</v>
      </c>
      <c r="AF38" s="9">
        <f t="shared" si="20"/>
        <v>4.2269902321811131E-4</v>
      </c>
      <c r="AG38" s="10">
        <f t="shared" si="21"/>
        <v>2.9781779299079279E-4</v>
      </c>
      <c r="AH38" s="5">
        <f t="shared" si="44"/>
        <v>-4.88</v>
      </c>
      <c r="AI38" s="9">
        <f t="shared" si="22"/>
        <v>4.2269902321811131E-4</v>
      </c>
      <c r="AJ38" s="10">
        <f t="shared" si="23"/>
        <v>2.9781779299079279E-4</v>
      </c>
    </row>
    <row r="39" spans="2:36" s="238" customFormat="1">
      <c r="B39" s="239" t="s">
        <v>31</v>
      </c>
      <c r="C39" s="240">
        <v>17</v>
      </c>
      <c r="D39" s="241">
        <v>35.453000000000003</v>
      </c>
      <c r="E39" s="242">
        <v>-6.75</v>
      </c>
      <c r="F39" s="243">
        <f t="shared" si="7"/>
        <v>6.3045339924109855E-6</v>
      </c>
      <c r="G39" s="243">
        <f t="shared" si="8"/>
        <v>4.4419372738746028E-6</v>
      </c>
      <c r="H39" s="250">
        <v>0.5</v>
      </c>
      <c r="I39" s="144">
        <f t="shared" si="49"/>
        <v>0</v>
      </c>
      <c r="J39" s="295">
        <f t="shared" si="47"/>
        <v>8.9223646807090162E-2</v>
      </c>
      <c r="K39" s="245"/>
      <c r="L39" s="245"/>
      <c r="M39" s="289">
        <f t="shared" si="48"/>
        <v>-6.5250000000000004</v>
      </c>
      <c r="N39" s="248">
        <f t="shared" si="25"/>
        <v>1.0584076998849825E-5</v>
      </c>
      <c r="O39" s="249">
        <f t="shared" si="9"/>
        <v>7.1596166914050449E-6</v>
      </c>
      <c r="P39" s="247">
        <f t="shared" si="28"/>
        <v>-6.6749999999999998</v>
      </c>
      <c r="Q39" s="248">
        <f t="shared" si="10"/>
        <v>7.4929526929328636E-6</v>
      </c>
      <c r="R39" s="249">
        <f t="shared" si="11"/>
        <v>5.2208692107814829E-6</v>
      </c>
      <c r="S39" s="247">
        <f t="shared" si="29"/>
        <v>-6.875</v>
      </c>
      <c r="T39" s="248">
        <f t="shared" si="12"/>
        <v>4.7277335334486243E-6</v>
      </c>
      <c r="U39" s="249">
        <f t="shared" si="13"/>
        <v>3.379654664208082E-6</v>
      </c>
      <c r="V39" s="247">
        <f t="shared" si="32"/>
        <v>-7.0249999999999995</v>
      </c>
      <c r="W39" s="248">
        <f t="shared" si="14"/>
        <v>3.346979024696483E-6</v>
      </c>
      <c r="X39" s="249">
        <f t="shared" si="15"/>
        <v>2.4225788229108382E-6</v>
      </c>
      <c r="Y39" s="247">
        <f t="shared" si="35"/>
        <v>-7.3999999999999995</v>
      </c>
      <c r="Z39" s="248">
        <f t="shared" si="16"/>
        <v>1.4114093517633134E-6</v>
      </c>
      <c r="AA39" s="249">
        <f t="shared" si="17"/>
        <v>1.0389894311360924E-6</v>
      </c>
      <c r="AB39" s="247">
        <f t="shared" si="38"/>
        <v>-6.75</v>
      </c>
      <c r="AC39" s="248">
        <f t="shared" si="18"/>
        <v>6.3045339924109855E-6</v>
      </c>
      <c r="AD39" s="249">
        <f t="shared" si="19"/>
        <v>4.4419369251450449E-6</v>
      </c>
      <c r="AE39" s="247">
        <f t="shared" si="41"/>
        <v>-6.75</v>
      </c>
      <c r="AF39" s="248">
        <f t="shared" si="20"/>
        <v>6.3045339924109855E-6</v>
      </c>
      <c r="AG39" s="249">
        <f t="shared" si="21"/>
        <v>4.4419369251450449E-6</v>
      </c>
      <c r="AH39" s="247">
        <f t="shared" si="44"/>
        <v>-6.75</v>
      </c>
      <c r="AI39" s="248">
        <f t="shared" si="22"/>
        <v>6.3045339924109855E-6</v>
      </c>
      <c r="AJ39" s="249">
        <f t="shared" si="23"/>
        <v>4.4419369251450449E-6</v>
      </c>
    </row>
    <row r="40" spans="2:36">
      <c r="B40" s="50" t="s">
        <v>32</v>
      </c>
      <c r="C40" s="55">
        <v>18</v>
      </c>
      <c r="D40" s="53">
        <v>39.948</v>
      </c>
      <c r="E40" s="161">
        <v>-5.6</v>
      </c>
      <c r="F40" s="57">
        <f t="shared" si="7"/>
        <v>1.0034483916594473E-4</v>
      </c>
      <c r="G40" s="57">
        <f t="shared" si="8"/>
        <v>7.0699195510516598E-5</v>
      </c>
      <c r="H40" s="145">
        <v>0.5</v>
      </c>
      <c r="I40" s="144">
        <f t="shared" si="49"/>
        <v>0</v>
      </c>
      <c r="J40" s="293">
        <f t="shared" si="47"/>
        <v>8.9223646807090162E-2</v>
      </c>
      <c r="K40"/>
      <c r="L40"/>
      <c r="M40" s="287">
        <f t="shared" si="48"/>
        <v>-5.375</v>
      </c>
      <c r="N40" s="9">
        <f t="shared" si="25"/>
        <v>1.6845931918964974E-4</v>
      </c>
      <c r="O40" s="10">
        <f t="shared" si="9"/>
        <v>1.1395458986400176E-4</v>
      </c>
      <c r="P40" s="5">
        <f t="shared" si="28"/>
        <v>-5.5249999999999995</v>
      </c>
      <c r="Q40" s="9">
        <f t="shared" si="10"/>
        <v>1.1926006486053459E-4</v>
      </c>
      <c r="R40" s="10">
        <f t="shared" si="11"/>
        <v>8.3096908017773146E-5</v>
      </c>
      <c r="S40" s="5">
        <f t="shared" si="29"/>
        <v>-5.7249999999999996</v>
      </c>
      <c r="T40" s="9">
        <f t="shared" si="12"/>
        <v>7.5248013826938531E-5</v>
      </c>
      <c r="U40" s="10">
        <f t="shared" si="13"/>
        <v>5.3791589374348703E-5</v>
      </c>
      <c r="V40" s="5">
        <f t="shared" si="32"/>
        <v>-5.8749999999999991</v>
      </c>
      <c r="W40" s="9">
        <f t="shared" si="14"/>
        <v>5.3271514172060525E-5</v>
      </c>
      <c r="X40" s="10">
        <f t="shared" si="15"/>
        <v>3.8558485471635595E-5</v>
      </c>
      <c r="Y40" s="5">
        <f t="shared" si="35"/>
        <v>-6.2499999999999991</v>
      </c>
      <c r="Z40" s="9">
        <f t="shared" si="16"/>
        <v>2.2464411258704087E-5</v>
      </c>
      <c r="AA40" s="10">
        <f t="shared" si="17"/>
        <v>1.6536864974947569E-5</v>
      </c>
      <c r="AB40" s="5">
        <f t="shared" si="38"/>
        <v>-5.6</v>
      </c>
      <c r="AC40" s="9">
        <f t="shared" si="18"/>
        <v>1.0034483916594473E-4</v>
      </c>
      <c r="AD40" s="10">
        <f t="shared" si="19"/>
        <v>7.0699189960033172E-5</v>
      </c>
      <c r="AE40" s="5">
        <f t="shared" si="41"/>
        <v>-5.6</v>
      </c>
      <c r="AF40" s="9">
        <f t="shared" si="20"/>
        <v>1.0034483916594473E-4</v>
      </c>
      <c r="AG40" s="10">
        <f t="shared" si="21"/>
        <v>7.0699189960033172E-5</v>
      </c>
      <c r="AH40" s="5">
        <f t="shared" si="44"/>
        <v>-5.6</v>
      </c>
      <c r="AI40" s="9">
        <f t="shared" si="22"/>
        <v>1.0034483916594473E-4</v>
      </c>
      <c r="AJ40" s="10">
        <f t="shared" si="23"/>
        <v>7.0699189960033172E-5</v>
      </c>
    </row>
    <row r="41" spans="2:36">
      <c r="B41" s="50" t="s">
        <v>12</v>
      </c>
      <c r="C41" s="55">
        <v>19</v>
      </c>
      <c r="D41" s="53">
        <v>39.098300000000002</v>
      </c>
      <c r="E41" s="161">
        <v>-6.96</v>
      </c>
      <c r="F41" s="57">
        <f t="shared" si="7"/>
        <v>4.2870433456265043E-6</v>
      </c>
      <c r="G41" s="57">
        <f t="shared" si="8"/>
        <v>3.0204893263446574E-6</v>
      </c>
      <c r="H41" s="145">
        <v>0.4</v>
      </c>
      <c r="I41" s="144">
        <f t="shared" si="49"/>
        <v>-9.9999999999999978E-2</v>
      </c>
      <c r="J41" s="293">
        <f t="shared" si="47"/>
        <v>-1.0776353192909816E-2</v>
      </c>
      <c r="K41"/>
      <c r="L41"/>
      <c r="M41" s="287">
        <f t="shared" si="48"/>
        <v>-6.6899999999999995</v>
      </c>
      <c r="N41" s="9">
        <f t="shared" si="25"/>
        <v>7.9828482682072658E-6</v>
      </c>
      <c r="O41" s="10">
        <f t="shared" si="9"/>
        <v>5.4000111405294533E-6</v>
      </c>
      <c r="P41" s="5">
        <f t="shared" si="28"/>
        <v>-6.87</v>
      </c>
      <c r="Q41" s="9">
        <f t="shared" si="10"/>
        <v>5.2742155472433153E-6</v>
      </c>
      <c r="R41" s="10">
        <f t="shared" si="11"/>
        <v>3.6749183786518212E-6</v>
      </c>
      <c r="S41" s="5">
        <f t="shared" si="29"/>
        <v>-7.11</v>
      </c>
      <c r="T41" s="9">
        <f t="shared" si="12"/>
        <v>3.0349942640083485E-6</v>
      </c>
      <c r="U41" s="10">
        <f t="shared" si="13"/>
        <v>2.1695876993977911E-6</v>
      </c>
      <c r="V41" s="5">
        <f t="shared" si="32"/>
        <v>-7.29</v>
      </c>
      <c r="W41" s="9">
        <f t="shared" si="14"/>
        <v>2.0052008249709555E-6</v>
      </c>
      <c r="X41" s="10">
        <f t="shared" si="15"/>
        <v>1.451385568422706E-6</v>
      </c>
      <c r="Y41" s="5">
        <f t="shared" si="35"/>
        <v>-7.7099999999999991</v>
      </c>
      <c r="Z41" s="9">
        <f t="shared" si="16"/>
        <v>7.6235609114719915E-7</v>
      </c>
      <c r="AA41" s="10">
        <f t="shared" si="17"/>
        <v>5.6119786968578299E-7</v>
      </c>
      <c r="AB41" s="5">
        <f t="shared" si="38"/>
        <v>-6.96</v>
      </c>
      <c r="AC41" s="9">
        <f t="shared" si="18"/>
        <v>4.2870433456265043E-6</v>
      </c>
      <c r="AD41" s="10">
        <f t="shared" si="19"/>
        <v>3.0204890892107577E-6</v>
      </c>
      <c r="AE41" s="5">
        <f t="shared" si="41"/>
        <v>-6.96</v>
      </c>
      <c r="AF41" s="9">
        <f t="shared" si="20"/>
        <v>4.2870433456265043E-6</v>
      </c>
      <c r="AG41" s="10">
        <f t="shared" si="21"/>
        <v>3.0204890892107577E-6</v>
      </c>
      <c r="AH41" s="5">
        <f t="shared" si="44"/>
        <v>-6.96</v>
      </c>
      <c r="AI41" s="9">
        <f t="shared" si="22"/>
        <v>4.2870433456265043E-6</v>
      </c>
      <c r="AJ41" s="10">
        <f t="shared" si="23"/>
        <v>3.0204890892107577E-6</v>
      </c>
    </row>
    <row r="42" spans="2:36">
      <c r="B42" s="50" t="s">
        <v>13</v>
      </c>
      <c r="C42" s="55">
        <v>20</v>
      </c>
      <c r="D42" s="53">
        <v>40.078000000000003</v>
      </c>
      <c r="E42" s="161">
        <v>-5.68</v>
      </c>
      <c r="F42" s="57">
        <f t="shared" si="7"/>
        <v>8.3734810332368123E-5</v>
      </c>
      <c r="G42" s="57">
        <f t="shared" si="8"/>
        <v>5.8996394592192013E-5</v>
      </c>
      <c r="H42" s="145">
        <v>0.35</v>
      </c>
      <c r="I42" s="144">
        <f t="shared" si="49"/>
        <v>-0.15000000000000002</v>
      </c>
      <c r="J42" s="293">
        <f t="shared" si="47"/>
        <v>-6.077635319290986E-2</v>
      </c>
      <c r="K42"/>
      <c r="L42"/>
      <c r="M42" s="287">
        <f t="shared" si="48"/>
        <v>-5.3874999999999993</v>
      </c>
      <c r="N42" s="9">
        <f t="shared" si="25"/>
        <v>1.6421243497107118E-4</v>
      </c>
      <c r="O42" s="10">
        <f t="shared" si="9"/>
        <v>1.1108177788983492E-4</v>
      </c>
      <c r="P42" s="5">
        <f t="shared" si="28"/>
        <v>-5.5824999999999996</v>
      </c>
      <c r="Q42" s="9">
        <f t="shared" si="10"/>
        <v>1.0481080122047466E-4</v>
      </c>
      <c r="R42" s="10">
        <f t="shared" si="11"/>
        <v>7.3029085792229937E-5</v>
      </c>
      <c r="S42" s="5">
        <f t="shared" si="29"/>
        <v>-5.8424999999999994</v>
      </c>
      <c r="T42" s="9">
        <f t="shared" si="12"/>
        <v>5.7597819292417469E-5</v>
      </c>
      <c r="U42" s="10">
        <f t="shared" si="13"/>
        <v>4.11742195795537E-5</v>
      </c>
      <c r="V42" s="5">
        <f t="shared" si="32"/>
        <v>-6.0374999999999996</v>
      </c>
      <c r="W42" s="9">
        <f t="shared" si="14"/>
        <v>3.6762584938551553E-5</v>
      </c>
      <c r="X42" s="10">
        <f t="shared" si="15"/>
        <v>2.6609147858544543E-5</v>
      </c>
      <c r="Y42" s="5">
        <f t="shared" si="35"/>
        <v>-6.4799999999999995</v>
      </c>
      <c r="Z42" s="9">
        <f t="shared" si="16"/>
        <v>1.3271073086779283E-5</v>
      </c>
      <c r="AA42" s="10">
        <f t="shared" si="17"/>
        <v>9.7693165060667531E-6</v>
      </c>
      <c r="AB42" s="5">
        <f t="shared" si="38"/>
        <v>-5.68</v>
      </c>
      <c r="AC42" s="9">
        <f t="shared" si="18"/>
        <v>8.3734810332368123E-5</v>
      </c>
      <c r="AD42" s="10">
        <f t="shared" si="19"/>
        <v>5.8996389960477215E-5</v>
      </c>
      <c r="AE42" s="5">
        <f t="shared" si="41"/>
        <v>-5.68</v>
      </c>
      <c r="AF42" s="9">
        <f t="shared" si="20"/>
        <v>8.3734810332368123E-5</v>
      </c>
      <c r="AG42" s="10">
        <f t="shared" si="21"/>
        <v>5.8996389960477215E-5</v>
      </c>
      <c r="AH42" s="5">
        <f t="shared" si="44"/>
        <v>-5.68</v>
      </c>
      <c r="AI42" s="9">
        <f t="shared" si="22"/>
        <v>8.3734810332368123E-5</v>
      </c>
      <c r="AJ42" s="10">
        <f t="shared" si="23"/>
        <v>5.8996389960477215E-5</v>
      </c>
    </row>
    <row r="43" spans="2:36">
      <c r="B43" s="50" t="s">
        <v>14</v>
      </c>
      <c r="C43" s="55">
        <v>21</v>
      </c>
      <c r="D43" s="53">
        <v>44.955910000000003</v>
      </c>
      <c r="E43" s="161">
        <v>-8.84</v>
      </c>
      <c r="F43" s="57">
        <f t="shared" si="7"/>
        <v>6.49810602440745E-8</v>
      </c>
      <c r="G43" s="57">
        <f t="shared" si="8"/>
        <v>4.5783208392800333E-8</v>
      </c>
      <c r="H43" s="145">
        <v>0.25</v>
      </c>
      <c r="I43" s="144">
        <f t="shared" si="49"/>
        <v>-0.25</v>
      </c>
      <c r="J43" s="293">
        <f t="shared" si="47"/>
        <v>-0.16077635319290984</v>
      </c>
      <c r="K43"/>
      <c r="L43"/>
      <c r="M43" s="287">
        <f t="shared" si="48"/>
        <v>-8.5024999999999995</v>
      </c>
      <c r="N43" s="9">
        <f t="shared" si="25"/>
        <v>1.4134706437777653E-7</v>
      </c>
      <c r="O43" s="10">
        <f t="shared" si="9"/>
        <v>9.5614459485716666E-8</v>
      </c>
      <c r="P43" s="5">
        <f t="shared" si="28"/>
        <v>-8.7274999999999991</v>
      </c>
      <c r="Q43" s="9">
        <f t="shared" si="10"/>
        <v>8.4195095348799586E-8</v>
      </c>
      <c r="R43" s="10">
        <f t="shared" si="11"/>
        <v>5.866466785783263E-8</v>
      </c>
      <c r="S43" s="5">
        <f t="shared" si="29"/>
        <v>-9.0274999999999999</v>
      </c>
      <c r="T43" s="9">
        <f t="shared" si="12"/>
        <v>4.2197506922849106E-8</v>
      </c>
      <c r="U43" s="10">
        <f t="shared" si="13"/>
        <v>3.0165194396167965E-8</v>
      </c>
      <c r="V43" s="5">
        <f t="shared" si="32"/>
        <v>-9.2525000000000013</v>
      </c>
      <c r="W43" s="9">
        <f t="shared" si="14"/>
        <v>2.513545742524452E-8</v>
      </c>
      <c r="X43" s="10">
        <f t="shared" si="15"/>
        <v>1.8193309970950994E-8</v>
      </c>
      <c r="Y43" s="5">
        <f t="shared" si="35"/>
        <v>-9.74</v>
      </c>
      <c r="Z43" s="9">
        <f t="shared" si="16"/>
        <v>8.1806308026592901E-9</v>
      </c>
      <c r="AA43" s="10">
        <f t="shared" si="17"/>
        <v>6.0220579758597996E-9</v>
      </c>
      <c r="AB43" s="5">
        <f t="shared" si="38"/>
        <v>-8.84</v>
      </c>
      <c r="AC43" s="9">
        <f t="shared" si="18"/>
        <v>6.49810602440745E-8</v>
      </c>
      <c r="AD43" s="10">
        <f t="shared" si="19"/>
        <v>4.5783204798432148E-8</v>
      </c>
      <c r="AE43" s="5">
        <f t="shared" si="41"/>
        <v>-8.84</v>
      </c>
      <c r="AF43" s="9">
        <f t="shared" si="20"/>
        <v>6.49810602440745E-8</v>
      </c>
      <c r="AG43" s="10">
        <f t="shared" si="21"/>
        <v>4.5783204798432148E-8</v>
      </c>
      <c r="AH43" s="5">
        <f t="shared" si="44"/>
        <v>-8.84</v>
      </c>
      <c r="AI43" s="9">
        <f t="shared" si="22"/>
        <v>6.49810602440745E-8</v>
      </c>
      <c r="AJ43" s="10">
        <f t="shared" si="23"/>
        <v>4.5783204798432148E-8</v>
      </c>
    </row>
    <row r="44" spans="2:36">
      <c r="B44" s="50" t="s">
        <v>15</v>
      </c>
      <c r="C44" s="55">
        <v>22</v>
      </c>
      <c r="D44" s="53">
        <v>47.866999999999997</v>
      </c>
      <c r="E44" s="161">
        <v>-7.07</v>
      </c>
      <c r="F44" s="57">
        <f t="shared" si="7"/>
        <v>4.0741424474633016E-6</v>
      </c>
      <c r="G44" s="57">
        <f t="shared" si="8"/>
        <v>2.8704873696051302E-6</v>
      </c>
      <c r="H44" s="145">
        <v>0.35</v>
      </c>
      <c r="I44" s="144">
        <f t="shared" si="49"/>
        <v>-0.15000000000000002</v>
      </c>
      <c r="J44" s="293">
        <f t="shared" si="47"/>
        <v>-6.077635319290986E-2</v>
      </c>
      <c r="K44"/>
      <c r="L44"/>
      <c r="M44" s="287">
        <f t="shared" si="48"/>
        <v>-6.7774999999999999</v>
      </c>
      <c r="N44" s="9">
        <f t="shared" si="25"/>
        <v>7.9898055427771605E-6</v>
      </c>
      <c r="O44" s="10">
        <f t="shared" si="9"/>
        <v>5.4047174006164423E-6</v>
      </c>
      <c r="P44" s="5">
        <f t="shared" si="28"/>
        <v>-6.9725000000000001</v>
      </c>
      <c r="Q44" s="9">
        <f t="shared" si="10"/>
        <v>5.099601139717521E-6</v>
      </c>
      <c r="R44" s="10">
        <f t="shared" si="11"/>
        <v>3.55325219158646E-6</v>
      </c>
      <c r="S44" s="5">
        <f t="shared" si="29"/>
        <v>-7.2324999999999999</v>
      </c>
      <c r="T44" s="9">
        <f t="shared" si="12"/>
        <v>2.8024392666457012E-6</v>
      </c>
      <c r="U44" s="10">
        <f t="shared" si="13"/>
        <v>2.0033440699798156E-6</v>
      </c>
      <c r="V44" s="5">
        <f t="shared" si="32"/>
        <v>-7.4275000000000002</v>
      </c>
      <c r="W44" s="9">
        <f t="shared" si="14"/>
        <v>1.7886946561665667E-6</v>
      </c>
      <c r="X44" s="10">
        <f t="shared" si="15"/>
        <v>1.2946761132080486E-6</v>
      </c>
      <c r="Y44" s="5">
        <f t="shared" si="35"/>
        <v>-7.87</v>
      </c>
      <c r="Z44" s="9">
        <f t="shared" si="16"/>
        <v>6.4570806301014496E-7</v>
      </c>
      <c r="AA44" s="10">
        <f t="shared" si="17"/>
        <v>4.7532904059955715E-7</v>
      </c>
      <c r="AB44" s="5">
        <f t="shared" si="38"/>
        <v>-7.07</v>
      </c>
      <c r="AC44" s="9">
        <f t="shared" si="18"/>
        <v>4.0741424474633016E-6</v>
      </c>
      <c r="AD44" s="10">
        <f t="shared" si="19"/>
        <v>2.8704871442476502E-6</v>
      </c>
      <c r="AE44" s="5">
        <f t="shared" si="41"/>
        <v>-7.07</v>
      </c>
      <c r="AF44" s="9">
        <f t="shared" si="20"/>
        <v>4.0741424474633016E-6</v>
      </c>
      <c r="AG44" s="10">
        <f t="shared" si="21"/>
        <v>2.8704871442476502E-6</v>
      </c>
      <c r="AH44" s="5">
        <f t="shared" si="44"/>
        <v>-7.07</v>
      </c>
      <c r="AI44" s="9">
        <f t="shared" si="22"/>
        <v>4.0741424474633016E-6</v>
      </c>
      <c r="AJ44" s="10">
        <f t="shared" si="23"/>
        <v>2.8704871442476502E-6</v>
      </c>
    </row>
    <row r="45" spans="2:36">
      <c r="B45" s="50" t="s">
        <v>16</v>
      </c>
      <c r="C45" s="55">
        <v>23</v>
      </c>
      <c r="D45" s="53">
        <v>50.941499999999998</v>
      </c>
      <c r="E45" s="161">
        <v>-8.11</v>
      </c>
      <c r="F45" s="57">
        <f t="shared" si="7"/>
        <v>3.9543192491740474E-7</v>
      </c>
      <c r="G45" s="57">
        <f t="shared" si="8"/>
        <v>2.7860644556519989E-7</v>
      </c>
      <c r="H45" s="145">
        <v>0</v>
      </c>
      <c r="I45" s="144">
        <f t="shared" si="49"/>
        <v>-0.5</v>
      </c>
      <c r="J45" s="293">
        <f t="shared" si="47"/>
        <v>-0.41077635319290984</v>
      </c>
      <c r="K45"/>
      <c r="L45"/>
      <c r="M45" s="287">
        <f t="shared" si="48"/>
        <v>-7.6599999999999993</v>
      </c>
      <c r="N45" s="9">
        <f t="shared" si="25"/>
        <v>1.1144785876642598E-6</v>
      </c>
      <c r="O45" s="10">
        <f t="shared" si="9"/>
        <v>7.5389091550653509E-7</v>
      </c>
      <c r="P45" s="5">
        <f t="shared" si="28"/>
        <v>-7.9599999999999991</v>
      </c>
      <c r="Q45" s="9">
        <f t="shared" si="10"/>
        <v>5.5856244028828137E-7</v>
      </c>
      <c r="R45" s="10">
        <f t="shared" si="11"/>
        <v>3.8918989166320465E-7</v>
      </c>
      <c r="S45" s="5">
        <f t="shared" si="29"/>
        <v>-8.36</v>
      </c>
      <c r="T45" s="9">
        <f t="shared" si="12"/>
        <v>2.2236771268062375E-7</v>
      </c>
      <c r="U45" s="10">
        <f t="shared" si="13"/>
        <v>1.5896117495060161E-7</v>
      </c>
      <c r="V45" s="5">
        <f t="shared" si="32"/>
        <v>-8.66</v>
      </c>
      <c r="W45" s="9">
        <f t="shared" si="14"/>
        <v>1.1144785876642583E-7</v>
      </c>
      <c r="X45" s="10">
        <f t="shared" si="15"/>
        <v>8.0667139086951722E-8</v>
      </c>
      <c r="Y45" s="5">
        <f t="shared" si="35"/>
        <v>-9.26</v>
      </c>
      <c r="Z45" s="9">
        <f t="shared" si="16"/>
        <v>2.7994436425618167E-8</v>
      </c>
      <c r="AA45" s="10">
        <f t="shared" si="17"/>
        <v>2.0607716351383572E-8</v>
      </c>
      <c r="AB45" s="5">
        <f t="shared" si="38"/>
        <v>-8.11</v>
      </c>
      <c r="AC45" s="9">
        <f t="shared" si="18"/>
        <v>3.9543192491740474E-7</v>
      </c>
      <c r="AD45" s="10">
        <f t="shared" si="19"/>
        <v>2.7860642369224294E-7</v>
      </c>
      <c r="AE45" s="5">
        <f t="shared" si="41"/>
        <v>-8.11</v>
      </c>
      <c r="AF45" s="9">
        <f t="shared" si="20"/>
        <v>3.9543192491740474E-7</v>
      </c>
      <c r="AG45" s="10">
        <f t="shared" si="21"/>
        <v>2.7860642369224294E-7</v>
      </c>
      <c r="AH45" s="5">
        <f t="shared" si="44"/>
        <v>-8.11</v>
      </c>
      <c r="AI45" s="9">
        <f t="shared" si="22"/>
        <v>3.9543192491740474E-7</v>
      </c>
      <c r="AJ45" s="10">
        <f t="shared" si="23"/>
        <v>2.7860642369224294E-7</v>
      </c>
    </row>
    <row r="46" spans="2:36">
      <c r="B46" s="50" t="s">
        <v>17</v>
      </c>
      <c r="C46" s="55">
        <v>24</v>
      </c>
      <c r="D46" s="53">
        <v>51.996099999999998</v>
      </c>
      <c r="E46" s="161">
        <v>-6.38</v>
      </c>
      <c r="F46" s="57">
        <f t="shared" si="7"/>
        <v>2.1675582149861881E-5</v>
      </c>
      <c r="G46" s="57">
        <f t="shared" si="8"/>
        <v>1.5271799057678233E-5</v>
      </c>
      <c r="H46" s="145">
        <v>0</v>
      </c>
      <c r="I46" s="144">
        <f t="shared" si="49"/>
        <v>-0.5</v>
      </c>
      <c r="J46" s="293">
        <f t="shared" si="47"/>
        <v>-0.41077635319290984</v>
      </c>
      <c r="K46"/>
      <c r="L46"/>
      <c r="M46" s="287">
        <f t="shared" si="48"/>
        <v>-5.93</v>
      </c>
      <c r="N46" s="9">
        <f t="shared" si="25"/>
        <v>6.1090090756391253E-5</v>
      </c>
      <c r="O46" s="10">
        <f t="shared" si="9"/>
        <v>4.1324494663676224E-5</v>
      </c>
      <c r="P46" s="5">
        <f t="shared" si="28"/>
        <v>-6.2299999999999995</v>
      </c>
      <c r="Q46" s="9">
        <f t="shared" si="10"/>
        <v>3.0617573588234711E-5</v>
      </c>
      <c r="R46" s="10">
        <f t="shared" si="11"/>
        <v>2.1333425394026198E-5</v>
      </c>
      <c r="S46" s="5">
        <f t="shared" si="29"/>
        <v>-6.63</v>
      </c>
      <c r="T46" s="9">
        <f t="shared" si="12"/>
        <v>1.2189075590425612E-5</v>
      </c>
      <c r="U46" s="10">
        <f t="shared" si="13"/>
        <v>8.7134492416109976E-6</v>
      </c>
      <c r="V46" s="5">
        <f t="shared" si="32"/>
        <v>-6.93</v>
      </c>
      <c r="W46" s="9">
        <f t="shared" si="14"/>
        <v>6.1090090756391188E-6</v>
      </c>
      <c r="X46" s="10">
        <f t="shared" si="15"/>
        <v>4.4217653909425154E-6</v>
      </c>
      <c r="Y46" s="5">
        <f t="shared" si="35"/>
        <v>-7.5299999999999994</v>
      </c>
      <c r="Z46" s="9">
        <f t="shared" si="16"/>
        <v>1.5345137007066817E-6</v>
      </c>
      <c r="AA46" s="10">
        <f t="shared" si="17"/>
        <v>1.1296109912945645E-6</v>
      </c>
      <c r="AB46" s="5">
        <f t="shared" si="38"/>
        <v>-6.38</v>
      </c>
      <c r="AC46" s="9">
        <f t="shared" si="18"/>
        <v>2.1675582149861881E-5</v>
      </c>
      <c r="AD46" s="10">
        <f t="shared" si="19"/>
        <v>1.5271797858713142E-5</v>
      </c>
      <c r="AE46" s="5">
        <f t="shared" si="41"/>
        <v>-6.38</v>
      </c>
      <c r="AF46" s="9">
        <f t="shared" si="20"/>
        <v>2.1675582149861881E-5</v>
      </c>
      <c r="AG46" s="10">
        <f t="shared" si="21"/>
        <v>1.5271797858713142E-5</v>
      </c>
      <c r="AH46" s="5">
        <f t="shared" si="44"/>
        <v>-6.38</v>
      </c>
      <c r="AI46" s="9">
        <f t="shared" si="22"/>
        <v>2.1675582149861881E-5</v>
      </c>
      <c r="AJ46" s="10">
        <f t="shared" si="23"/>
        <v>1.5271797858713142E-5</v>
      </c>
    </row>
    <row r="47" spans="2:36" ht="16" thickBot="1">
      <c r="B47" s="50" t="s">
        <v>18</v>
      </c>
      <c r="C47" s="55">
        <v>25</v>
      </c>
      <c r="D47" s="53">
        <v>54.938049999999997</v>
      </c>
      <c r="E47" s="161">
        <v>-6.58</v>
      </c>
      <c r="F47" s="57">
        <f t="shared" si="7"/>
        <v>1.4450179445214791E-5</v>
      </c>
      <c r="G47" s="57">
        <f t="shared" si="8"/>
        <v>1.018105236154494E-5</v>
      </c>
      <c r="H47" s="145">
        <v>0</v>
      </c>
      <c r="I47" s="144">
        <f t="shared" si="49"/>
        <v>-0.5</v>
      </c>
      <c r="J47" s="293">
        <f t="shared" si="47"/>
        <v>-0.41077635319290984</v>
      </c>
      <c r="K47"/>
      <c r="L47"/>
      <c r="M47" s="287">
        <f t="shared" si="48"/>
        <v>-6.13</v>
      </c>
      <c r="N47" s="9">
        <f t="shared" si="25"/>
        <v>4.0726139102101788E-5</v>
      </c>
      <c r="O47" s="10">
        <f t="shared" si="9"/>
        <v>2.7549265308971024E-5</v>
      </c>
      <c r="P47" s="5">
        <f t="shared" si="28"/>
        <v>-6.43</v>
      </c>
      <c r="Q47" s="9">
        <f t="shared" si="10"/>
        <v>2.0411420992901904E-5</v>
      </c>
      <c r="R47" s="10">
        <f t="shared" si="11"/>
        <v>1.422207823501271E-5</v>
      </c>
      <c r="S47" s="5">
        <f t="shared" si="29"/>
        <v>-6.83</v>
      </c>
      <c r="T47" s="9">
        <f t="shared" si="12"/>
        <v>8.1259330584604198E-6</v>
      </c>
      <c r="U47" s="10">
        <f t="shared" si="13"/>
        <v>5.8088822831848037E-6</v>
      </c>
      <c r="V47" s="5">
        <f t="shared" si="32"/>
        <v>-7.13</v>
      </c>
      <c r="W47" s="9">
        <f t="shared" si="14"/>
        <v>4.0726139102101756E-6</v>
      </c>
      <c r="X47" s="10">
        <f t="shared" si="15"/>
        <v>2.9478010289180049E-6</v>
      </c>
      <c r="Y47" s="5">
        <f t="shared" si="35"/>
        <v>-7.7299999999999995</v>
      </c>
      <c r="Z47" s="9">
        <f t="shared" si="16"/>
        <v>1.0229943621834138E-6</v>
      </c>
      <c r="AA47" s="10">
        <f t="shared" si="17"/>
        <v>7.530631202722927E-7</v>
      </c>
      <c r="AB47" s="5">
        <f t="shared" si="38"/>
        <v>-6.58</v>
      </c>
      <c r="AC47" s="9">
        <f t="shared" si="18"/>
        <v>1.4450179445214791E-5</v>
      </c>
      <c r="AD47" s="10">
        <f t="shared" si="19"/>
        <v>1.0181051562246421E-5</v>
      </c>
      <c r="AE47" s="5">
        <f t="shared" si="41"/>
        <v>-6.58</v>
      </c>
      <c r="AF47" s="9">
        <f t="shared" si="20"/>
        <v>1.4450179445214791E-5</v>
      </c>
      <c r="AG47" s="10">
        <f t="shared" si="21"/>
        <v>1.0181051562246421E-5</v>
      </c>
      <c r="AH47" s="5">
        <f t="shared" si="44"/>
        <v>-6.58</v>
      </c>
      <c r="AI47" s="9">
        <f t="shared" si="22"/>
        <v>1.4450179445214791E-5</v>
      </c>
      <c r="AJ47" s="10">
        <f t="shared" si="23"/>
        <v>1.0181051562246421E-5</v>
      </c>
    </row>
    <row r="48" spans="2:36" ht="16" thickBot="1">
      <c r="B48" s="116" t="s">
        <v>19</v>
      </c>
      <c r="C48" s="117">
        <v>26</v>
      </c>
      <c r="D48" s="117">
        <v>55.844999999999999</v>
      </c>
      <c r="E48" s="291">
        <v>-4.4800000000000004</v>
      </c>
      <c r="F48" s="118">
        <f t="shared" si="7"/>
        <v>1.8492017479195268E-3</v>
      </c>
      <c r="G48" s="119">
        <f t="shared" si="8"/>
        <v>1.302877925773003E-3</v>
      </c>
      <c r="H48" s="146">
        <v>0</v>
      </c>
      <c r="I48" s="292">
        <f t="shared" si="49"/>
        <v>-0.5</v>
      </c>
      <c r="J48" s="296">
        <f>I48+J$30</f>
        <v>-0.41077635319290984</v>
      </c>
      <c r="K48"/>
      <c r="L48" s="1"/>
      <c r="M48" s="287">
        <f t="shared" si="48"/>
        <v>-4.03</v>
      </c>
      <c r="N48" s="9">
        <f t="shared" si="25"/>
        <v>5.211758642800793E-3</v>
      </c>
      <c r="O48" s="10">
        <f t="shared" si="9"/>
        <v>3.5255029016347866E-3</v>
      </c>
      <c r="P48" s="5">
        <f t="shared" si="28"/>
        <v>-4.33</v>
      </c>
      <c r="Q48" s="9">
        <f t="shared" si="10"/>
        <v>2.6120668965183549E-3</v>
      </c>
      <c r="R48" s="10">
        <f t="shared" si="11"/>
        <v>1.8200114421376889E-3</v>
      </c>
      <c r="S48" s="5">
        <f t="shared" si="29"/>
        <v>-4.7300000000000004</v>
      </c>
      <c r="T48" s="9">
        <f t="shared" si="12"/>
        <v>1.0398825614693756E-3</v>
      </c>
      <c r="U48" s="10">
        <f t="shared" si="13"/>
        <v>7.4336760399756018E-4</v>
      </c>
      <c r="V48" s="5">
        <f t="shared" si="32"/>
        <v>-5.03</v>
      </c>
      <c r="W48" s="9">
        <f t="shared" si="14"/>
        <v>5.2117586428007874E-4</v>
      </c>
      <c r="X48" s="10">
        <f t="shared" si="15"/>
        <v>3.7723260364073193E-4</v>
      </c>
      <c r="Y48" s="5">
        <f t="shared" si="35"/>
        <v>-5.63</v>
      </c>
      <c r="Z48" s="9">
        <f t="shared" si="16"/>
        <v>1.3091345819154089E-4</v>
      </c>
      <c r="AA48" s="10">
        <f t="shared" si="17"/>
        <v>9.6370127691556629E-5</v>
      </c>
      <c r="AB48" s="5">
        <f t="shared" si="38"/>
        <v>-4.4800000000000004</v>
      </c>
      <c r="AC48" s="9">
        <f t="shared" si="18"/>
        <v>1.8492017479195268E-3</v>
      </c>
      <c r="AD48" s="10">
        <f t="shared" si="19"/>
        <v>1.3028778234860918E-3</v>
      </c>
      <c r="AE48" s="5">
        <f t="shared" si="41"/>
        <v>-4.4800000000000004</v>
      </c>
      <c r="AF48" s="9">
        <f t="shared" si="20"/>
        <v>1.8492017479195268E-3</v>
      </c>
      <c r="AG48" s="10">
        <f t="shared" si="21"/>
        <v>1.3028778234860918E-3</v>
      </c>
      <c r="AH48" s="5">
        <f t="shared" si="44"/>
        <v>-4.4800000000000004</v>
      </c>
      <c r="AI48" s="9">
        <f t="shared" si="22"/>
        <v>1.8492017479195268E-3</v>
      </c>
      <c r="AJ48" s="10">
        <f t="shared" si="23"/>
        <v>1.3028778234860918E-3</v>
      </c>
    </row>
    <row r="49" spans="2:36">
      <c r="B49" s="50" t="s">
        <v>20</v>
      </c>
      <c r="C49" s="55">
        <v>27</v>
      </c>
      <c r="D49" s="53">
        <v>58.933199999999999</v>
      </c>
      <c r="E49" s="161">
        <v>-7.07</v>
      </c>
      <c r="F49" s="57">
        <f t="shared" si="7"/>
        <v>5.016028823298812E-6</v>
      </c>
      <c r="G49" s="57">
        <f t="shared" si="8"/>
        <v>3.5341050462826804E-6</v>
      </c>
      <c r="H49" s="145">
        <v>0</v>
      </c>
      <c r="I49" s="144">
        <f t="shared" si="49"/>
        <v>-0.5</v>
      </c>
      <c r="J49" s="293">
        <f t="shared" si="47"/>
        <v>-0.41077635319290984</v>
      </c>
      <c r="K49"/>
      <c r="L49"/>
      <c r="M49" s="287">
        <f t="shared" si="48"/>
        <v>-6.62</v>
      </c>
      <c r="N49" s="9">
        <f t="shared" si="25"/>
        <v>1.4137090018315908E-5</v>
      </c>
      <c r="O49" s="10">
        <f t="shared" si="9"/>
        <v>9.5630583256366548E-6</v>
      </c>
      <c r="P49" s="5">
        <f t="shared" si="28"/>
        <v>-6.92</v>
      </c>
      <c r="Q49" s="9">
        <f t="shared" si="10"/>
        <v>7.0853290378194814E-6</v>
      </c>
      <c r="R49" s="10">
        <f t="shared" si="11"/>
        <v>4.9368490283806417E-6</v>
      </c>
      <c r="S49" s="5">
        <f t="shared" si="29"/>
        <v>-7.32</v>
      </c>
      <c r="T49" s="9">
        <f t="shared" si="12"/>
        <v>2.820720295686848E-6</v>
      </c>
      <c r="U49" s="10">
        <f t="shared" si="13"/>
        <v>2.0164123964047966E-6</v>
      </c>
      <c r="V49" s="5">
        <f t="shared" si="32"/>
        <v>-7.62</v>
      </c>
      <c r="W49" s="9">
        <f t="shared" si="14"/>
        <v>1.413709001831592E-6</v>
      </c>
      <c r="X49" s="10">
        <f t="shared" si="15"/>
        <v>1.0232575299470872E-6</v>
      </c>
      <c r="Y49" s="5">
        <f t="shared" si="35"/>
        <v>-8.2200000000000006</v>
      </c>
      <c r="Z49" s="9">
        <f t="shared" si="16"/>
        <v>3.5510764598037228E-7</v>
      </c>
      <c r="AA49" s="10">
        <f t="shared" si="17"/>
        <v>2.6140757153711671E-7</v>
      </c>
      <c r="AB49" s="5">
        <f t="shared" si="38"/>
        <v>-7.07</v>
      </c>
      <c r="AC49" s="9">
        <f t="shared" si="18"/>
        <v>5.016028823298812E-6</v>
      </c>
      <c r="AD49" s="10">
        <f t="shared" si="19"/>
        <v>3.5341047688256129E-6</v>
      </c>
      <c r="AE49" s="5">
        <f t="shared" si="41"/>
        <v>-7.07</v>
      </c>
      <c r="AF49" s="9">
        <f t="shared" si="20"/>
        <v>5.016028823298812E-6</v>
      </c>
      <c r="AG49" s="10">
        <f t="shared" si="21"/>
        <v>3.5341047688256129E-6</v>
      </c>
      <c r="AH49" s="5">
        <f t="shared" si="44"/>
        <v>-7.07</v>
      </c>
      <c r="AI49" s="9">
        <f t="shared" si="22"/>
        <v>5.016028823298812E-6</v>
      </c>
      <c r="AJ49" s="10">
        <f t="shared" si="23"/>
        <v>3.5341047688256129E-6</v>
      </c>
    </row>
    <row r="50" spans="2:36">
      <c r="B50" s="50" t="s">
        <v>21</v>
      </c>
      <c r="C50" s="55">
        <v>28</v>
      </c>
      <c r="D50" s="53">
        <v>58.693399999999997</v>
      </c>
      <c r="E50" s="161">
        <v>-5.8</v>
      </c>
      <c r="F50" s="57">
        <f t="shared" si="7"/>
        <v>9.3022770102396977E-5</v>
      </c>
      <c r="G50" s="57">
        <f t="shared" si="8"/>
        <v>6.554034133756623E-5</v>
      </c>
      <c r="H50" s="145">
        <v>0</v>
      </c>
      <c r="I50" s="144">
        <f t="shared" si="49"/>
        <v>-0.5</v>
      </c>
      <c r="J50" s="293">
        <f t="shared" si="47"/>
        <v>-0.41077635319290984</v>
      </c>
      <c r="K50"/>
      <c r="L50"/>
      <c r="M50" s="287">
        <f t="shared" si="48"/>
        <v>-5.35</v>
      </c>
      <c r="N50" s="9">
        <f t="shared" si="25"/>
        <v>2.6217378747553328E-4</v>
      </c>
      <c r="O50" s="10">
        <f t="shared" si="9"/>
        <v>1.7734789959130949E-4</v>
      </c>
      <c r="P50" s="5">
        <f t="shared" si="28"/>
        <v>-5.6499999999999995</v>
      </c>
      <c r="Q50" s="9">
        <f t="shared" si="10"/>
        <v>1.3139815527444707E-4</v>
      </c>
      <c r="R50" s="10">
        <f t="shared" si="11"/>
        <v>9.1554372667115928E-5</v>
      </c>
      <c r="S50" s="5">
        <f t="shared" si="29"/>
        <v>-6.05</v>
      </c>
      <c r="T50" s="9">
        <f t="shared" si="12"/>
        <v>5.2310547812259136E-5</v>
      </c>
      <c r="U50" s="10">
        <f t="shared" si="13"/>
        <v>3.7394575148997799E-5</v>
      </c>
      <c r="V50" s="5">
        <f t="shared" si="32"/>
        <v>-6.35</v>
      </c>
      <c r="W50" s="9">
        <f t="shared" si="14"/>
        <v>2.6217378747553346E-5</v>
      </c>
      <c r="X50" s="10">
        <f t="shared" si="15"/>
        <v>1.8976416068760716E-5</v>
      </c>
      <c r="Y50" s="5">
        <f t="shared" si="35"/>
        <v>-6.9499999999999993</v>
      </c>
      <c r="Z50" s="9">
        <f t="shared" si="16"/>
        <v>6.5855077945726781E-6</v>
      </c>
      <c r="AA50" s="10">
        <f t="shared" si="17"/>
        <v>4.8478302830267673E-6</v>
      </c>
      <c r="AB50" s="5">
        <f t="shared" si="38"/>
        <v>-5.8</v>
      </c>
      <c r="AC50" s="9">
        <f t="shared" si="18"/>
        <v>9.3022770102396977E-5</v>
      </c>
      <c r="AD50" s="10">
        <f t="shared" si="19"/>
        <v>6.5540336192096391E-5</v>
      </c>
      <c r="AE50" s="5">
        <f t="shared" si="41"/>
        <v>-5.8</v>
      </c>
      <c r="AF50" s="9">
        <f t="shared" si="20"/>
        <v>9.3022770102396977E-5</v>
      </c>
      <c r="AG50" s="10">
        <f t="shared" si="21"/>
        <v>6.5540336192096391E-5</v>
      </c>
      <c r="AH50" s="5">
        <f t="shared" si="44"/>
        <v>-5.8</v>
      </c>
      <c r="AI50" s="9">
        <f t="shared" si="22"/>
        <v>9.3022770102396977E-5</v>
      </c>
      <c r="AJ50" s="10">
        <f t="shared" si="23"/>
        <v>6.5540336192096391E-5</v>
      </c>
    </row>
    <row r="51" spans="2:36">
      <c r="B51" s="50" t="s">
        <v>22</v>
      </c>
      <c r="C51" s="55">
        <v>29</v>
      </c>
      <c r="D51" s="53">
        <v>63.545999999999999</v>
      </c>
      <c r="E51" s="161">
        <v>-7.82</v>
      </c>
      <c r="F51" s="57">
        <f t="shared" si="7"/>
        <v>9.6180763093126951E-7</v>
      </c>
      <c r="G51" s="57">
        <f t="shared" si="8"/>
        <v>6.7765344294651366E-7</v>
      </c>
      <c r="H51" s="145">
        <v>0</v>
      </c>
      <c r="I51" s="144">
        <f t="shared" si="49"/>
        <v>-0.5</v>
      </c>
      <c r="J51" s="293">
        <f t="shared" si="47"/>
        <v>-0.41077635319290984</v>
      </c>
      <c r="K51"/>
      <c r="L51"/>
      <c r="M51" s="287">
        <f t="shared" si="48"/>
        <v>-7.37</v>
      </c>
      <c r="N51" s="9">
        <f t="shared" si="25"/>
        <v>2.7107422101765989E-6</v>
      </c>
      <c r="O51" s="10">
        <f t="shared" si="9"/>
        <v>1.833686128340302E-6</v>
      </c>
      <c r="P51" s="5">
        <f t="shared" si="28"/>
        <v>-7.67</v>
      </c>
      <c r="Q51" s="9">
        <f t="shared" si="10"/>
        <v>1.3585893893950866E-6</v>
      </c>
      <c r="R51" s="10">
        <f t="shared" si="11"/>
        <v>9.4662515617870537E-7</v>
      </c>
      <c r="S51" s="5">
        <f t="shared" si="29"/>
        <v>-8.07</v>
      </c>
      <c r="T51" s="9">
        <f t="shared" si="12"/>
        <v>5.4086417775608157E-7</v>
      </c>
      <c r="U51" s="10">
        <f t="shared" si="13"/>
        <v>3.8664068694307984E-7</v>
      </c>
      <c r="V51" s="5">
        <f t="shared" si="32"/>
        <v>-8.370000000000001</v>
      </c>
      <c r="W51" s="9">
        <f t="shared" si="14"/>
        <v>2.7107422101765864E-7</v>
      </c>
      <c r="X51" s="10">
        <f t="shared" si="15"/>
        <v>1.9620638863549013E-7</v>
      </c>
      <c r="Y51" s="5">
        <f t="shared" si="35"/>
        <v>-8.9700000000000006</v>
      </c>
      <c r="Z51" s="9">
        <f t="shared" si="16"/>
        <v>6.8090765770628715E-8</v>
      </c>
      <c r="AA51" s="10">
        <f t="shared" si="17"/>
        <v>5.0124073434303087E-8</v>
      </c>
      <c r="AB51" s="5">
        <f t="shared" si="38"/>
        <v>-7.82</v>
      </c>
      <c r="AC51" s="9">
        <f t="shared" si="18"/>
        <v>9.6180763093126951E-7</v>
      </c>
      <c r="AD51" s="10">
        <f t="shared" si="19"/>
        <v>6.776533897450002E-7</v>
      </c>
      <c r="AE51" s="5">
        <f t="shared" si="41"/>
        <v>-7.82</v>
      </c>
      <c r="AF51" s="9">
        <f t="shared" si="20"/>
        <v>9.6180763093126951E-7</v>
      </c>
      <c r="AG51" s="10">
        <f t="shared" si="21"/>
        <v>6.776533897450002E-7</v>
      </c>
      <c r="AH51" s="5">
        <f t="shared" si="44"/>
        <v>-7.82</v>
      </c>
      <c r="AI51" s="9">
        <f t="shared" si="22"/>
        <v>9.6180763093126951E-7</v>
      </c>
      <c r="AJ51" s="10">
        <f t="shared" si="23"/>
        <v>6.776533897450002E-7</v>
      </c>
    </row>
    <row r="52" spans="2:36">
      <c r="B52" s="51" t="s">
        <v>23</v>
      </c>
      <c r="C52" s="56">
        <v>30</v>
      </c>
      <c r="D52" s="54">
        <v>65.38</v>
      </c>
      <c r="E52" s="162">
        <v>-7.44</v>
      </c>
      <c r="F52" s="58">
        <f t="shared" si="7"/>
        <v>2.3738043220869143E-6</v>
      </c>
      <c r="G52" s="57">
        <f t="shared" si="8"/>
        <v>1.6724931472897239E-6</v>
      </c>
      <c r="H52" s="145">
        <v>0.2</v>
      </c>
      <c r="I52" s="144">
        <f t="shared" si="49"/>
        <v>-0.3</v>
      </c>
      <c r="J52" s="293">
        <f t="shared" si="47"/>
        <v>-0.21077635319290983</v>
      </c>
      <c r="K52"/>
      <c r="L52"/>
      <c r="M52" s="290">
        <f t="shared" si="48"/>
        <v>-7.08</v>
      </c>
      <c r="N52" s="226">
        <f t="shared" si="25"/>
        <v>5.4380715354692447E-6</v>
      </c>
      <c r="O52" s="227">
        <f t="shared" si="9"/>
        <v>3.6785926386052643E-6</v>
      </c>
      <c r="P52" s="14">
        <f t="shared" si="28"/>
        <v>-7.32</v>
      </c>
      <c r="Q52" s="226">
        <f t="shared" si="10"/>
        <v>3.1292835436054057E-6</v>
      </c>
      <c r="R52" s="227">
        <f t="shared" si="11"/>
        <v>2.1803928002940378E-6</v>
      </c>
      <c r="S52" s="14">
        <f t="shared" si="29"/>
        <v>-7.6400000000000006</v>
      </c>
      <c r="T52" s="226">
        <f t="shared" si="12"/>
        <v>1.4977692713795674E-6</v>
      </c>
      <c r="U52" s="227">
        <f t="shared" si="13"/>
        <v>1.0706912452049901E-6</v>
      </c>
      <c r="V52" s="14">
        <f t="shared" si="32"/>
        <v>-7.88</v>
      </c>
      <c r="W52" s="226">
        <f t="shared" si="14"/>
        <v>8.6187625566817634E-7</v>
      </c>
      <c r="X52" s="227">
        <f t="shared" si="15"/>
        <v>6.238351509061984E-7</v>
      </c>
      <c r="Y52" s="14">
        <f t="shared" si="35"/>
        <v>-8.39</v>
      </c>
      <c r="Z52" s="226">
        <f t="shared" si="16"/>
        <v>2.663452256283285E-7</v>
      </c>
      <c r="AA52" s="227">
        <f t="shared" si="17"/>
        <v>1.9606634610693544E-7</v>
      </c>
      <c r="AB52" s="14">
        <f t="shared" si="38"/>
        <v>-7.44</v>
      </c>
      <c r="AC52" s="226">
        <f t="shared" si="18"/>
        <v>2.3738043220869143E-6</v>
      </c>
      <c r="AD52" s="227">
        <f>AC52/(SUM(AC$23:AC$52))</f>
        <v>1.672493015984899E-6</v>
      </c>
      <c r="AE52" s="14">
        <f t="shared" si="41"/>
        <v>-7.44</v>
      </c>
      <c r="AF52" s="226">
        <f t="shared" si="20"/>
        <v>2.3738043220869143E-6</v>
      </c>
      <c r="AG52" s="227">
        <f t="shared" si="21"/>
        <v>1.672493015984899E-6</v>
      </c>
      <c r="AH52" s="14">
        <f t="shared" si="44"/>
        <v>-7.44</v>
      </c>
      <c r="AI52" s="226">
        <f t="shared" si="22"/>
        <v>2.3738043220869143E-6</v>
      </c>
      <c r="AJ52" s="227">
        <f t="shared" si="23"/>
        <v>1.672493015984899E-6</v>
      </c>
    </row>
    <row r="53" spans="2:36" ht="18">
      <c r="C53" s="21"/>
      <c r="D53" s="21"/>
      <c r="F53" s="6" t="s">
        <v>58</v>
      </c>
      <c r="G53" s="100">
        <f>G19</f>
        <v>1.4254452236841769E-2</v>
      </c>
      <c r="H53" s="100">
        <f>-J48</f>
        <v>0.41077635319290984</v>
      </c>
      <c r="I53" s="100">
        <f>H53-$H$30</f>
        <v>-8.9223646807090162E-2</v>
      </c>
      <c r="J53" s="156">
        <f t="shared" si="47"/>
        <v>0</v>
      </c>
      <c r="K53"/>
      <c r="L53"/>
      <c r="M53" s="2"/>
      <c r="N53" s="3" t="s">
        <v>47</v>
      </c>
      <c r="O53" s="4">
        <f>O23</f>
        <v>0.68182270865178107</v>
      </c>
      <c r="P53" s="2"/>
      <c r="Q53" s="3" t="s">
        <v>47</v>
      </c>
      <c r="R53" s="4">
        <f>R23</f>
        <v>0.70230296759758792</v>
      </c>
      <c r="S53" s="2"/>
      <c r="T53" s="3" t="s">
        <v>47</v>
      </c>
      <c r="U53" s="4">
        <f>U23</f>
        <v>0.72053323186280471</v>
      </c>
      <c r="V53" s="2"/>
      <c r="W53" s="3" t="s">
        <v>47</v>
      </c>
      <c r="X53" s="4">
        <f>X23</f>
        <v>0.7295576341373049</v>
      </c>
      <c r="Y53" s="2"/>
      <c r="Z53" s="3" t="s">
        <v>47</v>
      </c>
      <c r="AA53" s="4">
        <f>AA23</f>
        <v>0.74198106021542787</v>
      </c>
      <c r="AB53" s="2"/>
      <c r="AC53" s="3" t="s">
        <v>47</v>
      </c>
      <c r="AD53" s="4">
        <f>AD23</f>
        <v>0.71015651747140784</v>
      </c>
      <c r="AE53" s="2"/>
      <c r="AF53" s="3" t="s">
        <v>47</v>
      </c>
      <c r="AG53" s="4">
        <f>AG23</f>
        <v>0.71015651747140784</v>
      </c>
      <c r="AH53" s="2"/>
      <c r="AI53" s="3" t="s">
        <v>47</v>
      </c>
      <c r="AJ53" s="4">
        <f>AJ23</f>
        <v>0.71015651747140784</v>
      </c>
    </row>
    <row r="54" spans="2:36" ht="18">
      <c r="C54" s="21"/>
      <c r="D54" s="21"/>
      <c r="F54" s="6"/>
      <c r="G54" s="208"/>
      <c r="H54" s="208"/>
      <c r="I54" s="208"/>
      <c r="J54" s="209"/>
      <c r="K54"/>
      <c r="L54"/>
      <c r="M54" s="5"/>
      <c r="N54" s="6" t="s">
        <v>48</v>
      </c>
      <c r="O54" s="7">
        <f>O24</f>
        <v>0.29073061397072508</v>
      </c>
      <c r="P54" s="5"/>
      <c r="Q54" s="6" t="s">
        <v>48</v>
      </c>
      <c r="R54" s="7">
        <f>R24</f>
        <v>0.28001747084254763</v>
      </c>
      <c r="S54" s="5"/>
      <c r="T54" s="6" t="s">
        <v>48</v>
      </c>
      <c r="U54" s="7">
        <f>U24</f>
        <v>0.26943883279659642</v>
      </c>
      <c r="V54" s="5"/>
      <c r="W54" s="6" t="s">
        <v>48</v>
      </c>
      <c r="X54" s="7">
        <f>X24</f>
        <v>0.26379016594238452</v>
      </c>
      <c r="Y54" s="5"/>
      <c r="Z54" s="6" t="s">
        <v>48</v>
      </c>
      <c r="AA54" s="7">
        <f>AA24</f>
        <v>0.25541775215307827</v>
      </c>
      <c r="AB54" s="5"/>
      <c r="AC54" s="6" t="s">
        <v>48</v>
      </c>
      <c r="AD54" s="7">
        <f>AD24</f>
        <v>0.27558895290240742</v>
      </c>
      <c r="AE54" s="5"/>
      <c r="AF54" s="6" t="s">
        <v>48</v>
      </c>
      <c r="AG54" s="7">
        <f>AG24</f>
        <v>0.27558895290240742</v>
      </c>
      <c r="AH54" s="5"/>
      <c r="AI54" s="6" t="s">
        <v>48</v>
      </c>
      <c r="AJ54" s="7">
        <f>AJ24</f>
        <v>0.27558895290240742</v>
      </c>
    </row>
    <row r="55" spans="2:36" ht="18">
      <c r="C55" s="21"/>
      <c r="D55" s="21"/>
      <c r="F55" s="6"/>
      <c r="G55" s="208"/>
      <c r="H55" s="208"/>
      <c r="I55" s="208"/>
      <c r="J55" s="209"/>
      <c r="K55"/>
      <c r="L55"/>
      <c r="M55" s="14"/>
      <c r="N55" s="95" t="s">
        <v>1</v>
      </c>
      <c r="O55" s="96">
        <f>SUM(O25:O52)</f>
        <v>2.7446677377494132E-2</v>
      </c>
      <c r="P55" s="22"/>
      <c r="Q55" s="95" t="s">
        <v>1</v>
      </c>
      <c r="R55" s="96">
        <f>SUM(R25:R52)</f>
        <v>1.7679561559864384E-2</v>
      </c>
      <c r="S55" s="14"/>
      <c r="T55" s="95" t="s">
        <v>1</v>
      </c>
      <c r="U55" s="96">
        <f>SUM(U25:U52)</f>
        <v>1.0027935340599399E-2</v>
      </c>
      <c r="V55" s="14"/>
      <c r="W55" s="95" t="s">
        <v>1</v>
      </c>
      <c r="X55" s="96">
        <f>SUM(X25:X52)</f>
        <v>6.6521999203108667E-3</v>
      </c>
      <c r="Y55" s="14"/>
      <c r="Z55" s="95" t="s">
        <v>1</v>
      </c>
      <c r="AA55" s="96">
        <f>SUM(AA25:AA52)</f>
        <v>2.6011876314938707E-3</v>
      </c>
      <c r="AB55" s="14"/>
      <c r="AC55" s="95" t="s">
        <v>1</v>
      </c>
      <c r="AD55" s="96">
        <f>SUM(AD25:AD52)</f>
        <v>1.4254529626185073E-2</v>
      </c>
      <c r="AE55" s="14"/>
      <c r="AF55" s="95" t="s">
        <v>1</v>
      </c>
      <c r="AG55" s="96">
        <f>SUM(AG25:AG52)</f>
        <v>1.4254529626185073E-2</v>
      </c>
      <c r="AH55" s="14"/>
      <c r="AI55" s="95" t="s">
        <v>1</v>
      </c>
      <c r="AJ55" s="96">
        <f>SUM(AJ25:AJ52)</f>
        <v>1.4254529626185073E-2</v>
      </c>
    </row>
    <row r="56" spans="2:36">
      <c r="C56" s="21"/>
      <c r="D56" s="21"/>
      <c r="F56" s="6"/>
      <c r="G56" s="208"/>
      <c r="H56" s="208"/>
      <c r="I56" s="208"/>
      <c r="J56" s="209"/>
      <c r="K56"/>
      <c r="L56"/>
    </row>
    <row r="57" spans="2:36">
      <c r="B57" s="21" t="s">
        <v>81</v>
      </c>
      <c r="C57" s="21"/>
      <c r="D57" s="21"/>
      <c r="F57" s="6"/>
      <c r="G57" s="208"/>
      <c r="H57" s="208"/>
      <c r="I57" s="208"/>
      <c r="J57" s="209"/>
      <c r="K57"/>
      <c r="L57"/>
    </row>
    <row r="58" spans="2:36">
      <c r="B58" s="182">
        <f>D69-D71</f>
        <v>8.9223646807090162E-2</v>
      </c>
      <c r="C58" s="21"/>
      <c r="D58" s="21"/>
      <c r="F58" s="6"/>
      <c r="G58" s="208"/>
      <c r="H58" s="208"/>
      <c r="I58" s="208"/>
      <c r="J58" s="209"/>
      <c r="K58"/>
      <c r="L58"/>
    </row>
    <row r="59" spans="2:36">
      <c r="C59" s="21"/>
      <c r="D59" s="21"/>
      <c r="F59" s="6"/>
      <c r="G59" s="208"/>
      <c r="H59" s="208"/>
      <c r="I59" s="208"/>
      <c r="J59" s="209"/>
      <c r="K59"/>
      <c r="L59"/>
    </row>
    <row r="60" spans="2:36">
      <c r="B60" s="177" t="s">
        <v>80</v>
      </c>
      <c r="C60" s="178"/>
      <c r="D60" s="178"/>
      <c r="E60" s="29"/>
      <c r="F60" s="178"/>
      <c r="G60" s="178"/>
      <c r="L60"/>
    </row>
    <row r="61" spans="2:36">
      <c r="B61" s="179" t="s">
        <v>57</v>
      </c>
      <c r="C61" s="175" t="s">
        <v>52</v>
      </c>
      <c r="D61" s="179" t="s">
        <v>53</v>
      </c>
      <c r="E61" s="175" t="s">
        <v>54</v>
      </c>
      <c r="F61" s="179" t="s">
        <v>50</v>
      </c>
      <c r="G61" s="175" t="s">
        <v>55</v>
      </c>
      <c r="L61"/>
    </row>
    <row r="62" spans="2:36">
      <c r="B62" s="180">
        <v>3.1619999999999999E-3</v>
      </c>
      <c r="C62" s="181">
        <f>LOG(B62)</f>
        <v>-2.5000381344038098</v>
      </c>
      <c r="D62" s="180">
        <f>D68</f>
        <v>9.9991219614524122E-3</v>
      </c>
      <c r="E62" s="181">
        <f>LOG(D62)</f>
        <v>-2.0000381344038098</v>
      </c>
      <c r="F62" s="180">
        <f>D70</f>
        <v>8.1421334983274359E-3</v>
      </c>
      <c r="G62" s="181">
        <f>LOG(F62)</f>
        <v>-2.0892617812109</v>
      </c>
      <c r="L62"/>
    </row>
    <row r="63" spans="2:36">
      <c r="E63" s="20"/>
      <c r="L63"/>
    </row>
    <row r="64" spans="2:36">
      <c r="E64" s="20"/>
      <c r="L64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</row>
    <row r="65" spans="2:34">
      <c r="E65" s="20"/>
      <c r="L65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</row>
    <row r="66" spans="2:34" ht="20">
      <c r="B66" s="183" t="s">
        <v>38</v>
      </c>
      <c r="C66" s="184" t="s">
        <v>33</v>
      </c>
      <c r="D66" s="185">
        <f>B62</f>
        <v>3.1619999999999999E-3</v>
      </c>
      <c r="E66" s="186"/>
      <c r="F66" s="187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</row>
    <row r="67" spans="2:34">
      <c r="B67" s="29"/>
      <c r="C67" s="188" t="s">
        <v>52</v>
      </c>
      <c r="D67" s="189">
        <f>C62</f>
        <v>-2.5000381344038098</v>
      </c>
      <c r="E67" s="190"/>
      <c r="F67" s="181"/>
    </row>
    <row r="68" spans="2:34" ht="20">
      <c r="B68" s="183" t="s">
        <v>37</v>
      </c>
      <c r="C68" s="184" t="s">
        <v>53</v>
      </c>
      <c r="D68" s="191">
        <f>10^D69</f>
        <v>9.9991219614524122E-3</v>
      </c>
      <c r="E68" s="186"/>
      <c r="F68" s="187"/>
    </row>
    <row r="69" spans="2:34">
      <c r="B69" s="178"/>
      <c r="C69" s="188" t="s">
        <v>54</v>
      </c>
      <c r="D69" s="189">
        <f>IF(D$67&gt;$C$3,($H30/$C$2)*$C$3,IF(D$67&gt;$C$2,($H30/$C$2)*D$67,$H30))+D$67</f>
        <v>-2.0000381344038098</v>
      </c>
      <c r="E69" s="192"/>
      <c r="F69" s="193"/>
    </row>
    <row r="70" spans="2:34" ht="20">
      <c r="B70" s="183" t="s">
        <v>37</v>
      </c>
      <c r="C70" s="184" t="s">
        <v>50</v>
      </c>
      <c r="D70" s="194">
        <f>F105/$G$19</f>
        <v>8.1421334983274359E-3</v>
      </c>
      <c r="E70" s="186"/>
      <c r="F70" s="187"/>
    </row>
    <row r="71" spans="2:34">
      <c r="B71" s="29"/>
      <c r="C71" s="188" t="s">
        <v>55</v>
      </c>
      <c r="D71" s="189">
        <f>LOG(D70)</f>
        <v>-2.0892617812109</v>
      </c>
      <c r="E71" s="192"/>
      <c r="F71" s="193"/>
      <c r="G71" s="32"/>
      <c r="H71" s="32"/>
    </row>
    <row r="72" spans="2:34" ht="45">
      <c r="B72" s="110"/>
      <c r="C72" s="111"/>
      <c r="D72" s="112" t="s">
        <v>56</v>
      </c>
      <c r="E72" s="113" t="s">
        <v>40</v>
      </c>
      <c r="F72" s="114" t="s">
        <v>49</v>
      </c>
      <c r="G72" s="32"/>
      <c r="H72" s="32"/>
    </row>
    <row r="73" spans="2:34">
      <c r="B73" s="29"/>
      <c r="C73" s="29"/>
      <c r="D73" s="195">
        <f>$E$23</f>
        <v>0</v>
      </c>
      <c r="E73" s="120">
        <f t="shared" ref="E73:E102" si="50">(10^D73)*$D23</f>
        <v>1.0079400000000001</v>
      </c>
      <c r="F73" s="196">
        <f>E73/(SUM(E$73:E$102))</f>
        <v>0.7506235093060194</v>
      </c>
    </row>
    <row r="74" spans="2:34">
      <c r="B74" s="29"/>
      <c r="C74" s="197" t="s">
        <v>78</v>
      </c>
      <c r="D74" s="198">
        <f>-1.0783+LOG(1+0.14367*D$68)</f>
        <v>-1.0776765516108264</v>
      </c>
      <c r="E74" s="120">
        <f t="shared" si="50"/>
        <v>0.3347078178776845</v>
      </c>
      <c r="F74" s="196">
        <f t="shared" ref="F74:F102" si="51">E74/(SUM(E$73:E$102))</f>
        <v>0.2492604290409226</v>
      </c>
    </row>
    <row r="75" spans="2:34">
      <c r="B75" s="29"/>
      <c r="C75" s="29"/>
      <c r="D75" s="195">
        <f>$E25</f>
        <v>-8.7219999999999995</v>
      </c>
      <c r="E75" s="120">
        <f t="shared" si="50"/>
        <v>1.3165035799126567E-8</v>
      </c>
      <c r="F75" s="196">
        <f t="shared" si="51"/>
        <v>9.8041404961404048E-9</v>
      </c>
    </row>
    <row r="76" spans="2:34">
      <c r="B76" s="29"/>
      <c r="C76" s="29"/>
      <c r="D76" s="195">
        <f t="shared" ref="D76" si="52">$E26</f>
        <v>-10.68</v>
      </c>
      <c r="E76" s="120">
        <f t="shared" si="50"/>
        <v>1.8829116983152398E-10</v>
      </c>
      <c r="F76" s="196">
        <f t="shared" si="51"/>
        <v>1.4022241271333037E-10</v>
      </c>
    </row>
    <row r="77" spans="2:34">
      <c r="B77" s="29"/>
      <c r="C77" s="29"/>
      <c r="D77" s="195">
        <f>$E27</f>
        <v>-9.1929999999999996</v>
      </c>
      <c r="E77" s="120">
        <f t="shared" si="50"/>
        <v>6.9321167324621858E-9</v>
      </c>
      <c r="F77" s="196">
        <f t="shared" si="51"/>
        <v>5.1624201724703275E-9</v>
      </c>
    </row>
    <row r="78" spans="2:34">
      <c r="B78" s="29"/>
      <c r="C78" s="29"/>
      <c r="D78" s="195">
        <f>D$80+LOG(10^-0.8 + 10^(2.72+D$80))</f>
        <v>-6.0318413906373074</v>
      </c>
      <c r="E78" s="120">
        <f t="shared" si="50"/>
        <v>1.1161612187157011E-5</v>
      </c>
      <c r="F78" s="196">
        <f t="shared" si="51"/>
        <v>8.3121698805847863E-6</v>
      </c>
    </row>
    <row r="79" spans="2:34">
      <c r="B79" s="178"/>
      <c r="C79" s="29"/>
      <c r="D79" s="195">
        <f>$E29+LOG(10^(-0.764) + 10^(E62-0.082))+E62</f>
        <v>-6.9536438197410231</v>
      </c>
      <c r="E79" s="120">
        <f t="shared" si="50"/>
        <v>1.5584468918664263E-6</v>
      </c>
      <c r="F79" s="196">
        <f t="shared" si="51"/>
        <v>1.1605917763357297E-6</v>
      </c>
    </row>
    <row r="80" spans="2:34">
      <c r="B80" s="178"/>
      <c r="C80" s="199"/>
      <c r="D80" s="195">
        <f t="shared" ref="D80:D102" si="53">IF(D$67&gt;$C$3,($H30/$C$2)*$C$3,IF(D$67&gt;$C$2,($H30/$C$2)*D$67,$H30))+$E30+D$67</f>
        <v>-5.2400381344038101</v>
      </c>
      <c r="E80" s="120">
        <f t="shared" si="50"/>
        <v>9.2058853502327128E-5</v>
      </c>
      <c r="F80" s="196">
        <f t="shared" si="51"/>
        <v>6.8557195545970517E-5</v>
      </c>
    </row>
    <row r="81" spans="2:6">
      <c r="B81" s="199"/>
      <c r="C81" s="199"/>
      <c r="D81" s="195">
        <f t="shared" si="53"/>
        <v>-9.5600381344038095</v>
      </c>
      <c r="E81" s="120">
        <f t="shared" si="50"/>
        <v>5.2321344178387016E-9</v>
      </c>
      <c r="F81" s="196">
        <f t="shared" si="51"/>
        <v>3.8964254795710978E-9</v>
      </c>
    </row>
    <row r="82" spans="2:6">
      <c r="B82" s="199"/>
      <c r="C82" s="199"/>
      <c r="D82" s="195">
        <f t="shared" si="53"/>
        <v>-5.91003813440381</v>
      </c>
      <c r="E82" s="120">
        <f t="shared" si="50"/>
        <v>2.4824274855938683E-5</v>
      </c>
      <c r="F82" s="196">
        <f t="shared" si="51"/>
        <v>1.8486898335557545E-5</v>
      </c>
    </row>
    <row r="83" spans="2:6">
      <c r="B83" s="199"/>
      <c r="C83" s="199"/>
      <c r="D83" s="195">
        <f t="shared" si="53"/>
        <v>-8.0900381344038088</v>
      </c>
      <c r="E83" s="120">
        <f t="shared" si="50"/>
        <v>1.8685145843696064E-7</v>
      </c>
      <c r="F83" s="196">
        <f t="shared" si="51"/>
        <v>1.3915024450949382E-7</v>
      </c>
    </row>
    <row r="84" spans="2:6">
      <c r="B84" s="199"/>
      <c r="C84" s="199"/>
      <c r="D84" s="195">
        <f t="shared" si="53"/>
        <v>-6.5400381344038099</v>
      </c>
      <c r="E84" s="120">
        <f t="shared" si="50"/>
        <v>7.0090230950624362E-6</v>
      </c>
      <c r="F84" s="196">
        <f t="shared" si="51"/>
        <v>5.2196931488210641E-6</v>
      </c>
    </row>
    <row r="85" spans="2:6">
      <c r="B85" s="199"/>
      <c r="C85" s="199"/>
      <c r="D85" s="195">
        <f t="shared" si="53"/>
        <v>-7.6700381344038098</v>
      </c>
      <c r="E85" s="120">
        <f t="shared" si="50"/>
        <v>5.7680444626278166E-7</v>
      </c>
      <c r="F85" s="196">
        <f t="shared" si="51"/>
        <v>4.2955233212005122E-7</v>
      </c>
    </row>
    <row r="86" spans="2:6">
      <c r="B86" s="199"/>
      <c r="C86" s="199"/>
      <c r="D86" s="195">
        <f t="shared" si="53"/>
        <v>-6.6000381344038095</v>
      </c>
      <c r="E86" s="120">
        <f t="shared" si="50"/>
        <v>7.0541392022134816E-6</v>
      </c>
      <c r="F86" s="196">
        <f t="shared" si="51"/>
        <v>5.2532915878907943E-6</v>
      </c>
    </row>
    <row r="87" spans="2:6">
      <c r="B87" s="199"/>
      <c r="C87" s="199"/>
      <c r="D87" s="195">
        <f t="shared" si="53"/>
        <v>-9.0900381344038088</v>
      </c>
      <c r="E87" s="120">
        <f t="shared" si="50"/>
        <v>2.5174206741852516E-8</v>
      </c>
      <c r="F87" s="196">
        <f t="shared" si="51"/>
        <v>1.8747496288037569E-8</v>
      </c>
    </row>
    <row r="88" spans="2:6">
      <c r="B88" s="199"/>
      <c r="C88" s="199"/>
      <c r="D88" s="195">
        <f t="shared" si="53"/>
        <v>-6.9800381344038094</v>
      </c>
      <c r="E88" s="120">
        <f t="shared" si="50"/>
        <v>3.3573228775492762E-6</v>
      </c>
      <c r="F88" s="196">
        <f t="shared" si="51"/>
        <v>2.5002336252350543E-6</v>
      </c>
    </row>
    <row r="89" spans="2:6">
      <c r="B89" s="200"/>
      <c r="C89" s="200"/>
      <c r="D89" s="195">
        <f t="shared" si="53"/>
        <v>-8.750038134403809</v>
      </c>
      <c r="E89" s="120">
        <f t="shared" si="50"/>
        <v>6.3039804300240123E-8</v>
      </c>
      <c r="F89" s="196">
        <f t="shared" si="51"/>
        <v>4.694640467667811E-8</v>
      </c>
    </row>
    <row r="90" spans="2:6">
      <c r="B90" s="199"/>
      <c r="C90" s="199"/>
      <c r="D90" s="195">
        <f t="shared" si="53"/>
        <v>-7.6000381344038095</v>
      </c>
      <c r="E90" s="120">
        <f t="shared" si="50"/>
        <v>1.0033602850226054E-6</v>
      </c>
      <c r="F90" s="196">
        <f t="shared" si="51"/>
        <v>7.4721294743928799E-7</v>
      </c>
    </row>
    <row r="91" spans="2:6">
      <c r="B91" s="199"/>
      <c r="C91" s="199"/>
      <c r="D91" s="195">
        <f t="shared" si="53"/>
        <v>-9.0600381344038095</v>
      </c>
      <c r="E91" s="120">
        <f t="shared" si="50"/>
        <v>3.4050205727327862E-8</v>
      </c>
      <c r="F91" s="196">
        <f t="shared" si="51"/>
        <v>2.5357546000395616E-8</v>
      </c>
    </row>
    <row r="92" spans="2:6">
      <c r="B92" s="199"/>
      <c r="C92" s="199"/>
      <c r="D92" s="195">
        <f t="shared" si="53"/>
        <v>-7.8300381344038099</v>
      </c>
      <c r="E92" s="120">
        <f t="shared" si="50"/>
        <v>5.9274500994311312E-7</v>
      </c>
      <c r="F92" s="196">
        <f t="shared" si="51"/>
        <v>4.414234373942208E-7</v>
      </c>
    </row>
    <row r="93" spans="2:6">
      <c r="B93" s="199"/>
      <c r="C93" s="199"/>
      <c r="D93" s="195">
        <f t="shared" si="53"/>
        <v>-11.090038134403809</v>
      </c>
      <c r="E93" s="120">
        <f t="shared" si="50"/>
        <v>3.6538327042248428E-10</v>
      </c>
      <c r="F93" s="196">
        <f t="shared" si="51"/>
        <v>2.7210476088481001E-10</v>
      </c>
    </row>
    <row r="94" spans="2:6">
      <c r="B94" s="199"/>
      <c r="C94" s="199"/>
      <c r="D94" s="195">
        <f t="shared" si="53"/>
        <v>-9.2200381344038114</v>
      </c>
      <c r="E94" s="120">
        <f t="shared" si="50"/>
        <v>2.8840187204649178E-8</v>
      </c>
      <c r="F94" s="196">
        <f t="shared" si="51"/>
        <v>2.1477590460341212E-8</v>
      </c>
    </row>
    <row r="95" spans="2:6">
      <c r="B95" s="199"/>
      <c r="C95" s="199"/>
      <c r="D95" s="195">
        <f t="shared" si="53"/>
        <v>-10.610038134403808</v>
      </c>
      <c r="E95" s="120">
        <f t="shared" si="50"/>
        <v>1.2503557465888359E-9</v>
      </c>
      <c r="F95" s="196">
        <f t="shared" si="51"/>
        <v>9.311530630647259E-10</v>
      </c>
    </row>
    <row r="96" spans="2:6">
      <c r="B96" s="199"/>
      <c r="C96" s="199"/>
      <c r="D96" s="195">
        <f t="shared" si="53"/>
        <v>-8.8800381344038097</v>
      </c>
      <c r="E96" s="120">
        <f t="shared" si="50"/>
        <v>6.8538190757863263E-8</v>
      </c>
      <c r="F96" s="196">
        <f t="shared" si="51"/>
        <v>5.1041110848019432E-8</v>
      </c>
    </row>
    <row r="97" spans="2:6">
      <c r="B97" s="199"/>
      <c r="C97" s="199"/>
      <c r="D97" s="195">
        <f t="shared" si="53"/>
        <v>-9.0800381344038108</v>
      </c>
      <c r="E97" s="120">
        <f t="shared" si="50"/>
        <v>4.5691467405769091E-8</v>
      </c>
      <c r="F97" s="196">
        <f t="shared" si="51"/>
        <v>3.4026915897235942E-8</v>
      </c>
    </row>
    <row r="98" spans="2:6">
      <c r="B98" s="199"/>
      <c r="C98" s="201"/>
      <c r="D98" s="195">
        <f t="shared" si="53"/>
        <v>-6.9800381344038103</v>
      </c>
      <c r="E98" s="120">
        <f t="shared" si="50"/>
        <v>5.8471759269215454E-6</v>
      </c>
      <c r="F98" s="196">
        <f t="shared" si="51"/>
        <v>4.3544533541634693E-6</v>
      </c>
    </row>
    <row r="99" spans="2:6">
      <c r="B99" s="199"/>
      <c r="C99" s="199"/>
      <c r="D99" s="195">
        <f t="shared" si="53"/>
        <v>-9.5700381344038092</v>
      </c>
      <c r="E99" s="120">
        <f t="shared" si="50"/>
        <v>1.5860683139270872E-8</v>
      </c>
      <c r="F99" s="196">
        <f t="shared" si="51"/>
        <v>1.1811617395867128E-8</v>
      </c>
    </row>
    <row r="100" spans="2:6">
      <c r="B100" s="199"/>
      <c r="C100" s="199"/>
      <c r="D100" s="195">
        <f t="shared" si="53"/>
        <v>-8.3000381344038097</v>
      </c>
      <c r="E100" s="120">
        <f t="shared" si="50"/>
        <v>2.9413799906377878E-7</v>
      </c>
      <c r="F100" s="196">
        <f t="shared" si="51"/>
        <v>2.1904765866768287E-7</v>
      </c>
    </row>
    <row r="101" spans="2:6">
      <c r="B101" s="199"/>
      <c r="C101" s="199"/>
      <c r="D101" s="195">
        <f t="shared" si="53"/>
        <v>-10.320038134403809</v>
      </c>
      <c r="E101" s="120">
        <f t="shared" si="50"/>
        <v>3.04123572900468E-9</v>
      </c>
      <c r="F101" s="196">
        <f t="shared" si="51"/>
        <v>2.2648402043101204E-9</v>
      </c>
    </row>
    <row r="102" spans="2:6">
      <c r="B102" s="199"/>
      <c r="C102" s="199"/>
      <c r="D102" s="195">
        <f t="shared" si="53"/>
        <v>-9.7400381344038109</v>
      </c>
      <c r="E102" s="120">
        <f t="shared" si="50"/>
        <v>1.1896159593201226E-8</v>
      </c>
      <c r="F102" s="196">
        <f t="shared" si="51"/>
        <v>8.8591950523971382E-9</v>
      </c>
    </row>
    <row r="103" spans="2:6" ht="18">
      <c r="B103" s="199"/>
      <c r="C103" s="199"/>
      <c r="D103" s="194"/>
      <c r="E103" s="202" t="s">
        <v>47</v>
      </c>
      <c r="F103" s="203">
        <f>F73</f>
        <v>0.7506235093060194</v>
      </c>
    </row>
    <row r="104" spans="2:6" ht="18">
      <c r="B104" s="178"/>
      <c r="C104" s="178"/>
      <c r="D104" s="195"/>
      <c r="E104" s="176" t="s">
        <v>48</v>
      </c>
      <c r="F104" s="204">
        <f>F74</f>
        <v>0.2492604290409226</v>
      </c>
    </row>
    <row r="105" spans="2:6" ht="18">
      <c r="B105" s="178"/>
      <c r="C105" s="178"/>
      <c r="D105" s="180"/>
      <c r="E105" s="205" t="s">
        <v>1</v>
      </c>
      <c r="F105" s="206">
        <f>SUM(F75:F102)</f>
        <v>1.1606165305789782E-4</v>
      </c>
    </row>
  </sheetData>
  <mergeCells count="50">
    <mergeCell ref="AH21:AJ21"/>
    <mergeCell ref="AH16:AJ16"/>
    <mergeCell ref="AH17:AJ17"/>
    <mergeCell ref="AH18:AJ18"/>
    <mergeCell ref="AH19:AJ19"/>
    <mergeCell ref="AH20:AJ20"/>
    <mergeCell ref="AB21:AD21"/>
    <mergeCell ref="AE16:AG16"/>
    <mergeCell ref="AE17:AG17"/>
    <mergeCell ref="AE18:AG18"/>
    <mergeCell ref="AE19:AG19"/>
    <mergeCell ref="AE20:AG20"/>
    <mergeCell ref="AE21:AG21"/>
    <mergeCell ref="AB16:AD16"/>
    <mergeCell ref="AB17:AD17"/>
    <mergeCell ref="AB18:AD18"/>
    <mergeCell ref="AB19:AD19"/>
    <mergeCell ref="AB20:AD20"/>
    <mergeCell ref="V21:X21"/>
    <mergeCell ref="Y16:AA16"/>
    <mergeCell ref="Y17:AA17"/>
    <mergeCell ref="Y18:AA18"/>
    <mergeCell ref="Y19:AA19"/>
    <mergeCell ref="Y20:AA20"/>
    <mergeCell ref="Y21:AA21"/>
    <mergeCell ref="V16:X16"/>
    <mergeCell ref="V17:X17"/>
    <mergeCell ref="V18:X18"/>
    <mergeCell ref="V19:X19"/>
    <mergeCell ref="V20:X20"/>
    <mergeCell ref="P21:R21"/>
    <mergeCell ref="S16:U16"/>
    <mergeCell ref="S17:U17"/>
    <mergeCell ref="S18:U18"/>
    <mergeCell ref="S19:U19"/>
    <mergeCell ref="S20:U20"/>
    <mergeCell ref="S21:U21"/>
    <mergeCell ref="P16:R16"/>
    <mergeCell ref="P17:R17"/>
    <mergeCell ref="P18:R18"/>
    <mergeCell ref="P19:R19"/>
    <mergeCell ref="P20:R20"/>
    <mergeCell ref="F5:G5"/>
    <mergeCell ref="H21:J21"/>
    <mergeCell ref="M16:O16"/>
    <mergeCell ref="M17:O17"/>
    <mergeCell ref="M18:O18"/>
    <mergeCell ref="M19:O19"/>
    <mergeCell ref="M20:O20"/>
    <mergeCell ref="M21:O21"/>
  </mergeCells>
  <pageMargins left="0.75" right="0.75" top="1" bottom="1" header="0.5" footer="0.5"/>
  <pageSetup paperSize="9" orientation="landscape" horizontalDpi="4294967292" verticalDpi="4294967292"/>
  <ignoredErrors>
    <ignoredError sqref="F8:F14 D8:D14 D7:F7 N29:O29 Q29:R29 T29:U29 W29:X29 Z29:AA29 AC29:AD29 AF29:AG29 AI29:AJ29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0.59999389629810485"/>
  </sheetPr>
  <dimension ref="A1:AK105"/>
  <sheetViews>
    <sheetView workbookViewId="0">
      <selection activeCell="C14" sqref="C14"/>
    </sheetView>
  </sheetViews>
  <sheetFormatPr baseColWidth="10" defaultRowHeight="15" x14ac:dyDescent="0"/>
  <cols>
    <col min="2" max="2" width="10" customWidth="1"/>
    <col min="8" max="36" width="10.83203125" customWidth="1"/>
  </cols>
  <sheetData>
    <row r="1" spans="1:36" ht="23">
      <c r="A1" s="62" t="str">
        <f>'Fe Sheet'!A1</f>
        <v>Galactic Concordance Abundances v2.6.3</v>
      </c>
      <c r="B1" s="20"/>
      <c r="C1" s="20"/>
      <c r="D1" s="20"/>
      <c r="E1" s="21"/>
      <c r="F1" s="20"/>
      <c r="G1" s="20"/>
      <c r="H1" s="20"/>
      <c r="I1" s="20"/>
      <c r="J1" s="20"/>
      <c r="K1" s="20"/>
      <c r="L1" s="20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20"/>
      <c r="AJ1" s="20"/>
    </row>
    <row r="2" spans="1:36" ht="20">
      <c r="A2" s="20"/>
      <c r="B2" s="212" t="s">
        <v>64</v>
      </c>
      <c r="C2" s="221">
        <f>'Fe Sheet'!C2+I30</f>
        <v>-0.5</v>
      </c>
      <c r="D2" s="20"/>
      <c r="E2" s="21"/>
      <c r="F2" s="20"/>
      <c r="G2" s="20"/>
      <c r="H2" s="20"/>
      <c r="I2" s="20"/>
      <c r="J2" s="20"/>
      <c r="K2" s="20"/>
      <c r="L2" s="20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20"/>
      <c r="AJ2" s="20"/>
    </row>
    <row r="3" spans="1:36" ht="20">
      <c r="A3" s="20"/>
      <c r="B3" s="212" t="s">
        <v>65</v>
      </c>
      <c r="C3" s="221">
        <f>C2*('Fe Sheet'!C3/'Fe Sheet'!C2)</f>
        <v>0.25</v>
      </c>
      <c r="D3" s="20"/>
      <c r="E3" s="21"/>
      <c r="F3" s="20"/>
      <c r="G3" s="20"/>
      <c r="H3" s="20"/>
      <c r="I3" s="20"/>
      <c r="J3" s="20"/>
      <c r="K3" s="20"/>
      <c r="L3" s="20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20"/>
      <c r="AJ3" s="20"/>
    </row>
    <row r="4" spans="1:36" ht="18">
      <c r="A4" s="73" t="s">
        <v>66</v>
      </c>
      <c r="B4" s="20"/>
      <c r="C4" s="20"/>
      <c r="D4" s="20"/>
      <c r="E4" s="21"/>
      <c r="F4" s="20"/>
      <c r="G4" s="20"/>
      <c r="H4" s="20"/>
      <c r="I4" s="20"/>
      <c r="J4" s="20"/>
      <c r="K4" s="20"/>
      <c r="L4" s="20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20"/>
      <c r="AJ4" s="20"/>
    </row>
    <row r="5" spans="1:36">
      <c r="A5" s="20"/>
      <c r="B5" s="20"/>
      <c r="C5" s="20"/>
      <c r="D5" s="20"/>
      <c r="E5" s="21"/>
      <c r="F5" s="312" t="s">
        <v>63</v>
      </c>
      <c r="G5" s="313"/>
      <c r="H5" s="20"/>
      <c r="I5" s="20"/>
      <c r="J5" s="20"/>
    </row>
    <row r="6" spans="1:36">
      <c r="A6" s="20"/>
      <c r="B6" s="80" t="s">
        <v>53</v>
      </c>
      <c r="C6" s="81" t="s">
        <v>54</v>
      </c>
      <c r="D6" s="78" t="s">
        <v>57</v>
      </c>
      <c r="E6" s="79" t="s">
        <v>52</v>
      </c>
      <c r="F6" s="88" t="s">
        <v>50</v>
      </c>
      <c r="G6" s="89" t="s">
        <v>55</v>
      </c>
      <c r="H6" s="228" t="s">
        <v>47</v>
      </c>
      <c r="I6" s="228" t="s">
        <v>48</v>
      </c>
      <c r="J6" s="228" t="s">
        <v>1</v>
      </c>
    </row>
    <row r="7" spans="1:36">
      <c r="A7" s="20"/>
      <c r="B7" s="309">
        <f>10^C7</f>
        <v>3.1622776601683795</v>
      </c>
      <c r="C7" s="65">
        <v>0.5</v>
      </c>
      <c r="D7" s="63">
        <f>M18</f>
        <v>5.6234132519034921</v>
      </c>
      <c r="E7" s="64">
        <f>LOG(D7)</f>
        <v>0.75000000000000011</v>
      </c>
      <c r="F7" s="66">
        <f>M20</f>
        <v>3.5581885691803574</v>
      </c>
      <c r="G7" s="86">
        <f>LOG(F7)</f>
        <v>0.55122896015724088</v>
      </c>
      <c r="H7" s="229">
        <f>O53</f>
        <v>0.62858796086704694</v>
      </c>
      <c r="I7" s="229">
        <f>O54</f>
        <v>0.32069201012389548</v>
      </c>
      <c r="J7" s="229">
        <f>1-(H7+I7)</f>
        <v>5.0720029009057588E-2</v>
      </c>
    </row>
    <row r="8" spans="1:36">
      <c r="A8" s="20"/>
      <c r="B8" s="309">
        <f t="shared" ref="B8:B14" si="0">10^C8</f>
        <v>1.9952623149688797</v>
      </c>
      <c r="C8" s="65">
        <v>0.3</v>
      </c>
      <c r="D8" s="63">
        <f>P18</f>
        <v>3.5481338923357555</v>
      </c>
      <c r="E8" s="64">
        <f>LOG(D8)</f>
        <v>0.55000000000000016</v>
      </c>
      <c r="F8" s="66">
        <f>P20</f>
        <v>2.3137866606109445</v>
      </c>
      <c r="G8" s="86">
        <f>LOG(F8)</f>
        <v>0.36432331296026998</v>
      </c>
      <c r="H8" s="229">
        <f>R53</f>
        <v>0.66955342805542306</v>
      </c>
      <c r="I8" s="229">
        <f>R54</f>
        <v>0.2974648105046564</v>
      </c>
      <c r="J8" s="229">
        <f t="shared" ref="J8:J13" si="1">1-(H8+I8)</f>
        <v>3.2981761439920598E-2</v>
      </c>
    </row>
    <row r="9" spans="1:36">
      <c r="A9" s="20"/>
      <c r="B9" s="309">
        <f t="shared" si="0"/>
        <v>1.5848931924611136</v>
      </c>
      <c r="C9" s="65">
        <v>0.2</v>
      </c>
      <c r="D9" s="63">
        <f>S18</f>
        <v>2.511886431509581</v>
      </c>
      <c r="E9" s="64">
        <f t="shared" ref="E9:E14" si="2">LOG(D9)</f>
        <v>0.40000000000000013</v>
      </c>
      <c r="F9" s="66">
        <f>S20</f>
        <v>1.7879757499766955</v>
      </c>
      <c r="G9" s="86">
        <f t="shared" ref="G9:G14" si="3">LOG(F9)</f>
        <v>0.25236162423466041</v>
      </c>
      <c r="H9" s="229">
        <f>U53</f>
        <v>0.6857464790726957</v>
      </c>
      <c r="I9" s="229">
        <f>U54</f>
        <v>0.28876690599863042</v>
      </c>
      <c r="J9" s="229">
        <f t="shared" si="1"/>
        <v>2.5486614928673879E-2</v>
      </c>
    </row>
    <row r="10" spans="1:36">
      <c r="A10" s="20"/>
      <c r="B10" s="309">
        <f t="shared" si="0"/>
        <v>1.2589254117941673</v>
      </c>
      <c r="C10" s="65">
        <v>0.1</v>
      </c>
      <c r="D10" s="63">
        <f>V18</f>
        <v>1.5848931924611138</v>
      </c>
      <c r="E10" s="64">
        <f t="shared" si="2"/>
        <v>0.20000000000000009</v>
      </c>
      <c r="F10" s="66">
        <f>V20</f>
        <v>1.3335208602037183</v>
      </c>
      <c r="G10" s="86">
        <f t="shared" si="3"/>
        <v>0.12499981372706286</v>
      </c>
      <c r="H10" s="229">
        <f>X53</f>
        <v>0.69936424507142725</v>
      </c>
      <c r="I10" s="229">
        <f>X54</f>
        <v>0.28162714551996687</v>
      </c>
      <c r="J10" s="229">
        <f t="shared" si="1"/>
        <v>1.9008609408605937E-2</v>
      </c>
    </row>
    <row r="11" spans="1:36">
      <c r="A11" s="20"/>
      <c r="B11" s="309">
        <f t="shared" si="0"/>
        <v>1</v>
      </c>
      <c r="C11" s="65">
        <v>0</v>
      </c>
      <c r="D11" s="63">
        <f>Y18</f>
        <v>1</v>
      </c>
      <c r="E11" s="64">
        <f t="shared" si="2"/>
        <v>0</v>
      </c>
      <c r="F11" s="66">
        <f>Y20</f>
        <v>1.0000054291348428</v>
      </c>
      <c r="G11" s="86">
        <f t="shared" si="3"/>
        <v>2.3578369032373643E-6</v>
      </c>
      <c r="H11" s="229">
        <f>AA53</f>
        <v>0.71015651747140784</v>
      </c>
      <c r="I11" s="229">
        <f>AA54</f>
        <v>0.27558895290240742</v>
      </c>
      <c r="J11" s="229">
        <f t="shared" si="1"/>
        <v>1.4254529626184675E-2</v>
      </c>
    </row>
    <row r="12" spans="1:36">
      <c r="A12" s="20"/>
      <c r="B12" s="309">
        <f t="shared" si="0"/>
        <v>0.31622776601683794</v>
      </c>
      <c r="C12" s="65">
        <v>-0.5</v>
      </c>
      <c r="D12" s="63">
        <f>AB18</f>
        <v>0.1</v>
      </c>
      <c r="E12" s="64">
        <f t="shared" si="2"/>
        <v>-1</v>
      </c>
      <c r="F12" s="66">
        <f>AB20</f>
        <v>0.25756428226033956</v>
      </c>
      <c r="G12" s="86">
        <f t="shared" si="3"/>
        <v>-0.58911436294559416</v>
      </c>
      <c r="H12" s="308">
        <f>AD53</f>
        <v>0.73832021918774215</v>
      </c>
      <c r="I12" s="229">
        <f>AD54</f>
        <v>0.25800834305286185</v>
      </c>
      <c r="J12" s="229">
        <f t="shared" si="1"/>
        <v>3.6714377593960457E-3</v>
      </c>
    </row>
    <row r="13" spans="1:36">
      <c r="A13" s="20"/>
      <c r="B13" s="309">
        <f t="shared" si="0"/>
        <v>0.19952623149688795</v>
      </c>
      <c r="C13" s="65">
        <v>-0.7</v>
      </c>
      <c r="D13" s="63">
        <f>AE18</f>
        <v>6.3095734448019289E-2</v>
      </c>
      <c r="E13" s="64">
        <f t="shared" si="2"/>
        <v>-1.2000000000000002</v>
      </c>
      <c r="F13" s="66">
        <f>AE20</f>
        <v>0.16267078575599742</v>
      </c>
      <c r="G13" s="86">
        <f t="shared" si="3"/>
        <v>-0.7886904355338511</v>
      </c>
      <c r="H13" s="229">
        <f>AG53</f>
        <v>0.74295103655607575</v>
      </c>
      <c r="I13" s="229">
        <f>AG54</f>
        <v>0.25473018049803592</v>
      </c>
      <c r="J13" s="229">
        <f t="shared" si="1"/>
        <v>2.3187829458883868E-3</v>
      </c>
    </row>
    <row r="14" spans="1:36">
      <c r="A14" s="20"/>
      <c r="B14" s="309">
        <f t="shared" si="0"/>
        <v>0.01</v>
      </c>
      <c r="C14" s="69">
        <v>-2</v>
      </c>
      <c r="D14" s="67">
        <f>AH18</f>
        <v>3.1622776601683764E-3</v>
      </c>
      <c r="E14" s="68">
        <f t="shared" si="2"/>
        <v>-2.5000000000000004</v>
      </c>
      <c r="F14" s="70">
        <f>AH20</f>
        <v>8.16670739553404E-3</v>
      </c>
      <c r="G14" s="87">
        <f t="shared" si="3"/>
        <v>-2.087953004443508</v>
      </c>
      <c r="H14" s="230">
        <f>AJ53</f>
        <v>0.75057345279068832</v>
      </c>
      <c r="I14" s="230">
        <f>AJ54</f>
        <v>0.24931013526881002</v>
      </c>
      <c r="J14" s="230">
        <f>1-(H14+I14)</f>
        <v>1.1641194050171499E-4</v>
      </c>
      <c r="K14" s="20"/>
      <c r="L14" s="20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</row>
    <row r="15" spans="1:36">
      <c r="A15" s="60" t="s">
        <v>61</v>
      </c>
      <c r="B15" s="76">
        <f>C2</f>
        <v>-0.5</v>
      </c>
      <c r="C15" s="77">
        <f>C3</f>
        <v>0.25</v>
      </c>
      <c r="D15" s="74">
        <f>B15+H48</f>
        <v>-1</v>
      </c>
      <c r="E15" s="75">
        <f>C15*(D15/B15)</f>
        <v>0.5</v>
      </c>
      <c r="F15" s="90">
        <f>B15+H53</f>
        <v>-0.5892035582972599</v>
      </c>
      <c r="G15" s="91">
        <f>C15*(F15/B15)</f>
        <v>0.29460177914862995</v>
      </c>
      <c r="H15" s="20"/>
      <c r="K15" s="20"/>
      <c r="L15" s="20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</row>
    <row r="16" spans="1:36" ht="20">
      <c r="A16" s="20"/>
      <c r="C16" s="72" t="s">
        <v>62</v>
      </c>
      <c r="D16" s="20"/>
      <c r="E16" s="21"/>
      <c r="F16" s="20"/>
      <c r="G16" s="20"/>
      <c r="H16" s="20"/>
      <c r="I16" s="20"/>
      <c r="J16" s="20"/>
      <c r="K16" s="19" t="s">
        <v>38</v>
      </c>
      <c r="L16" s="38" t="s">
        <v>51</v>
      </c>
      <c r="M16" s="18">
        <f>B7</f>
        <v>3.1622776601683795</v>
      </c>
      <c r="N16" s="16"/>
      <c r="O16" s="17"/>
      <c r="P16" s="15">
        <f>B8</f>
        <v>1.9952623149688797</v>
      </c>
      <c r="Q16" s="16"/>
      <c r="R16" s="17"/>
      <c r="S16" s="15">
        <f>B9</f>
        <v>1.5848931924611136</v>
      </c>
      <c r="T16" s="16"/>
      <c r="U16" s="17"/>
      <c r="V16" s="15">
        <f>B10</f>
        <v>1.2589254117941673</v>
      </c>
      <c r="W16" s="16"/>
      <c r="X16" s="17"/>
      <c r="Y16" s="15">
        <f>B11</f>
        <v>1</v>
      </c>
      <c r="Z16" s="16"/>
      <c r="AA16" s="17"/>
      <c r="AB16" s="15">
        <f>B12</f>
        <v>0.31622776601683794</v>
      </c>
      <c r="AC16" s="16"/>
      <c r="AD16" s="17"/>
      <c r="AE16" s="15">
        <f>B13</f>
        <v>0.19952623149688795</v>
      </c>
      <c r="AF16" s="16"/>
      <c r="AG16" s="17"/>
      <c r="AH16" s="15">
        <f>B14</f>
        <v>0.01</v>
      </c>
      <c r="AI16" s="136"/>
      <c r="AJ16" s="174"/>
    </row>
    <row r="17" spans="1:37" ht="18">
      <c r="A17" s="20"/>
      <c r="B17" s="20"/>
      <c r="C17" s="20"/>
      <c r="D17" s="20"/>
      <c r="E17" s="21"/>
      <c r="F17" s="210" t="s">
        <v>47</v>
      </c>
      <c r="G17" s="211">
        <f>G23</f>
        <v>0.71015657322469128</v>
      </c>
      <c r="H17" s="20"/>
      <c r="I17" s="20"/>
      <c r="J17" s="20"/>
      <c r="K17" s="21"/>
      <c r="L17" s="39" t="s">
        <v>54</v>
      </c>
      <c r="M17" s="11">
        <f>LOG(M16)</f>
        <v>0.5</v>
      </c>
      <c r="N17" s="12"/>
      <c r="O17" s="13"/>
      <c r="P17" s="11">
        <f t="shared" ref="P17:AH17" si="4">LOG(P16)</f>
        <v>0.30000000000000004</v>
      </c>
      <c r="Q17" s="12"/>
      <c r="R17" s="13"/>
      <c r="S17" s="11">
        <f t="shared" si="4"/>
        <v>0.20000000000000004</v>
      </c>
      <c r="T17" s="12"/>
      <c r="U17" s="13"/>
      <c r="V17" s="11">
        <f t="shared" si="4"/>
        <v>0.10000000000000002</v>
      </c>
      <c r="W17" s="12"/>
      <c r="X17" s="13"/>
      <c r="Y17" s="11">
        <f t="shared" si="4"/>
        <v>0</v>
      </c>
      <c r="Z17" s="12"/>
      <c r="AA17" s="13"/>
      <c r="AB17" s="11">
        <f t="shared" si="4"/>
        <v>-0.5</v>
      </c>
      <c r="AC17" s="12"/>
      <c r="AD17" s="13"/>
      <c r="AE17" s="11">
        <f t="shared" si="4"/>
        <v>-0.70000000000000007</v>
      </c>
      <c r="AF17" s="12"/>
      <c r="AG17" s="13"/>
      <c r="AH17" s="11">
        <f t="shared" si="4"/>
        <v>-2</v>
      </c>
      <c r="AI17" s="41"/>
      <c r="AJ17" s="42"/>
    </row>
    <row r="18" spans="1:37" ht="20">
      <c r="A18" s="20"/>
      <c r="B18" s="20"/>
      <c r="C18" s="20"/>
      <c r="D18" s="20"/>
      <c r="E18" s="21"/>
      <c r="F18" s="210" t="s">
        <v>48</v>
      </c>
      <c r="G18" s="211">
        <f>G24</f>
        <v>0.27558897453846737</v>
      </c>
      <c r="H18" s="60" t="s">
        <v>84</v>
      </c>
      <c r="I18" s="217">
        <f>10^(E24+1.0783) -1</f>
        <v>0.17030753166883605</v>
      </c>
      <c r="J18" s="20"/>
      <c r="K18" s="19" t="s">
        <v>37</v>
      </c>
      <c r="L18" s="35" t="s">
        <v>57</v>
      </c>
      <c r="M18" s="92">
        <f>10^M19</f>
        <v>5.6234132519034921</v>
      </c>
      <c r="N18" s="43"/>
      <c r="O18" s="44"/>
      <c r="P18" s="92">
        <f>10^P19</f>
        <v>3.5481338923357555</v>
      </c>
      <c r="Q18" s="43"/>
      <c r="R18" s="44"/>
      <c r="S18" s="92">
        <f t="shared" ref="S18:AB18" si="5">10^S19</f>
        <v>2.511886431509581</v>
      </c>
      <c r="T18" s="43"/>
      <c r="U18" s="44"/>
      <c r="V18" s="92">
        <f t="shared" si="5"/>
        <v>1.5848931924611138</v>
      </c>
      <c r="W18" s="43"/>
      <c r="X18" s="44"/>
      <c r="Y18" s="92">
        <f t="shared" si="5"/>
        <v>1</v>
      </c>
      <c r="Z18" s="43"/>
      <c r="AA18" s="44"/>
      <c r="AB18" s="92">
        <f t="shared" si="5"/>
        <v>0.1</v>
      </c>
      <c r="AC18" s="43"/>
      <c r="AD18" s="44"/>
      <c r="AE18" s="92">
        <f>10^AE19</f>
        <v>6.3095734448019289E-2</v>
      </c>
      <c r="AF18" s="43"/>
      <c r="AG18" s="44"/>
      <c r="AH18" s="92">
        <f>10^AH19</f>
        <v>3.1622776601683764E-3</v>
      </c>
      <c r="AI18" s="43"/>
      <c r="AJ18" s="44"/>
    </row>
    <row r="19" spans="1:37" ht="18">
      <c r="A19" s="20"/>
      <c r="B19" s="20"/>
      <c r="C19" s="20"/>
      <c r="D19" s="20"/>
      <c r="E19" s="21"/>
      <c r="F19" s="210" t="s">
        <v>1</v>
      </c>
      <c r="G19" s="211">
        <f>SUM(G25:G52)</f>
        <v>1.4254452236841769E-2</v>
      </c>
      <c r="H19" s="218" t="s">
        <v>88</v>
      </c>
      <c r="I19" s="21"/>
      <c r="J19" s="21"/>
      <c r="K19" s="20"/>
      <c r="L19" s="37" t="s">
        <v>52</v>
      </c>
      <c r="M19" s="93">
        <f>IF(M$17&gt;$C$3,($H48/$C$2)*$C$3,IF(M$17&gt;$C$2,($H48/$C$2)*M$17,$H48))+M$17</f>
        <v>0.75</v>
      </c>
      <c r="N19" s="46"/>
      <c r="O19" s="94"/>
      <c r="P19" s="93">
        <f>IF(P$17&gt;$C$3,($H48/$C$2)*$C$3,IF(P$17&gt;$C$2,($H48/$C$2)*P$17,$H48))+P$17</f>
        <v>0.55000000000000004</v>
      </c>
      <c r="Q19" s="45"/>
      <c r="R19" s="97"/>
      <c r="S19" s="93">
        <f>IF(S$17&gt;$C$3,($H48/$C$2)*$C$3,IF(S$17&gt;$C$2,($H48/$C$2)*S$17,$H48))+S$17</f>
        <v>0.40000000000000008</v>
      </c>
      <c r="T19" s="45"/>
      <c r="U19" s="97"/>
      <c r="V19" s="93">
        <f>IF(V$17&gt;$C$3,($H48/$C$2)*$C$3,IF(V$17&gt;$C$2,($H48/$C$2)*V$17,$H48))+V$17</f>
        <v>0.20000000000000004</v>
      </c>
      <c r="W19" s="46"/>
      <c r="X19" s="94"/>
      <c r="Y19" s="93">
        <f>IF(Y$17&gt;$C$3,($H48/$C$2)*$C$3,IF(Y$17&gt;$C$2,($H48/$C$2)*Y$17,$H48))+Y$17</f>
        <v>0</v>
      </c>
      <c r="Z19" s="46"/>
      <c r="AA19" s="94"/>
      <c r="AB19" s="93">
        <f>IF(AB$17&gt;$C$3,($H48/$C$2)*$C$3,IF(AB$17&gt;$C$2,($H48/$C$2)*AB$17,$H48))+AB$17</f>
        <v>-1</v>
      </c>
      <c r="AC19" s="46"/>
      <c r="AD19" s="94"/>
      <c r="AE19" s="93">
        <f>IF(AE$17&gt;$C$3,($H48/$C$2)*$C$3,IF(AE$17&gt;$C$2,($H48/$C$2)*AE$17,$H48))+AE$17</f>
        <v>-1.2000000000000002</v>
      </c>
      <c r="AF19" s="46"/>
      <c r="AG19" s="94"/>
      <c r="AH19" s="93">
        <f>IF(AH$17&gt;$C$3,($H48/$C$2)*$C$3,IF(AH$17&gt;$C$2,($H48/$C$2)*AH$17,$H48))+AH$17</f>
        <v>-2.5</v>
      </c>
      <c r="AI19" s="47"/>
      <c r="AJ19" s="48"/>
    </row>
    <row r="20" spans="1:37" ht="20">
      <c r="C20" s="20"/>
      <c r="D20" s="20"/>
      <c r="F20" s="30"/>
      <c r="G20" s="8"/>
      <c r="H20" s="20"/>
      <c r="I20" s="21"/>
      <c r="J20" s="21"/>
      <c r="K20" s="19" t="s">
        <v>37</v>
      </c>
      <c r="L20" s="49" t="s">
        <v>50</v>
      </c>
      <c r="M20" s="27">
        <f>O55/$G$19</f>
        <v>3.5581885691803574</v>
      </c>
      <c r="N20" s="25"/>
      <c r="O20" s="26"/>
      <c r="P20" s="27">
        <f>R55/$G$19</f>
        <v>2.3137866606109445</v>
      </c>
      <c r="Q20" s="25"/>
      <c r="R20" s="26"/>
      <c r="S20" s="27">
        <f>U55/$G$19</f>
        <v>1.7879757499766955</v>
      </c>
      <c r="T20" s="25"/>
      <c r="U20" s="26"/>
      <c r="V20" s="27">
        <f>X55/$G$19</f>
        <v>1.3335208602037183</v>
      </c>
      <c r="W20" s="25"/>
      <c r="X20" s="26"/>
      <c r="Y20" s="27">
        <f>AA55/$G$19</f>
        <v>1.0000054291348428</v>
      </c>
      <c r="Z20" s="25"/>
      <c r="AA20" s="26"/>
      <c r="AB20" s="27">
        <f>AD55/$G$19</f>
        <v>0.25756428226033956</v>
      </c>
      <c r="AC20" s="25"/>
      <c r="AD20" s="26"/>
      <c r="AE20" s="27">
        <f>AG55/$G$19</f>
        <v>0.16267078575599742</v>
      </c>
      <c r="AF20" s="25"/>
      <c r="AG20" s="26"/>
      <c r="AH20" s="27">
        <f>AJ55/$G$19</f>
        <v>8.16670739553404E-3</v>
      </c>
      <c r="AI20" s="25"/>
      <c r="AJ20" s="26"/>
    </row>
    <row r="21" spans="1:37" ht="20">
      <c r="A21" s="20"/>
      <c r="B21" s="61" t="s">
        <v>76</v>
      </c>
      <c r="C21" s="20"/>
      <c r="D21" s="20"/>
      <c r="E21" s="276" t="s">
        <v>42</v>
      </c>
      <c r="F21" s="52" t="s">
        <v>43</v>
      </c>
      <c r="G21" s="21"/>
      <c r="H21" s="149"/>
      <c r="I21" s="150"/>
      <c r="J21" s="151"/>
      <c r="K21" s="21"/>
      <c r="L21" s="36" t="s">
        <v>55</v>
      </c>
      <c r="M21" s="28">
        <f>LOG(M20)</f>
        <v>0.55122896015724088</v>
      </c>
      <c r="N21" s="23"/>
      <c r="O21" s="24"/>
      <c r="P21" s="28">
        <f>LOG(P20)</f>
        <v>0.36432331296026998</v>
      </c>
      <c r="Q21" s="23"/>
      <c r="R21" s="24"/>
      <c r="S21" s="28">
        <f>LOG(S20)</f>
        <v>0.25236162423466041</v>
      </c>
      <c r="T21" s="23"/>
      <c r="U21" s="24"/>
      <c r="V21" s="28">
        <f>LOG(V20)</f>
        <v>0.12499981372706286</v>
      </c>
      <c r="W21" s="23"/>
      <c r="X21" s="24"/>
      <c r="Y21" s="28">
        <f>LOG(Y20)</f>
        <v>2.3578369032373643E-6</v>
      </c>
      <c r="Z21" s="23"/>
      <c r="AA21" s="24"/>
      <c r="AB21" s="28">
        <f>LOG(AB20)</f>
        <v>-0.58911436294559416</v>
      </c>
      <c r="AC21" s="23"/>
      <c r="AD21" s="24"/>
      <c r="AE21" s="28">
        <f>LOG(AE20)</f>
        <v>-0.7886904355338511</v>
      </c>
      <c r="AF21" s="23"/>
      <c r="AG21" s="24"/>
      <c r="AH21" s="28">
        <f>LOG(AH20)</f>
        <v>-2.087953004443508</v>
      </c>
      <c r="AI21" s="23"/>
      <c r="AJ21" s="24"/>
    </row>
    <row r="22" spans="1:37" s="115" customFormat="1" ht="47">
      <c r="A22" s="104"/>
      <c r="B22" s="105" t="s">
        <v>0</v>
      </c>
      <c r="C22" s="106" t="s">
        <v>1</v>
      </c>
      <c r="D22" s="107" t="s">
        <v>41</v>
      </c>
      <c r="E22" s="282" t="str">
        <f>'Fe Sheet'!E22</f>
        <v>GC Absolute</v>
      </c>
      <c r="F22" s="108" t="s">
        <v>45</v>
      </c>
      <c r="G22" s="109" t="s">
        <v>46</v>
      </c>
      <c r="H22" s="252" t="s">
        <v>3</v>
      </c>
      <c r="I22" s="251" t="s">
        <v>2</v>
      </c>
      <c r="J22" s="253" t="s">
        <v>39</v>
      </c>
      <c r="K22" s="110"/>
      <c r="L22" s="111"/>
      <c r="M22" s="112" t="s">
        <v>56</v>
      </c>
      <c r="N22" s="113" t="s">
        <v>40</v>
      </c>
      <c r="O22" s="114" t="s">
        <v>49</v>
      </c>
      <c r="P22" s="112" t="s">
        <v>56</v>
      </c>
      <c r="Q22" s="113" t="s">
        <v>40</v>
      </c>
      <c r="R22" s="114" t="s">
        <v>49</v>
      </c>
      <c r="S22" s="112" t="s">
        <v>56</v>
      </c>
      <c r="T22" s="113" t="s">
        <v>40</v>
      </c>
      <c r="U22" s="114" t="s">
        <v>49</v>
      </c>
      <c r="V22" s="112" t="s">
        <v>56</v>
      </c>
      <c r="W22" s="113" t="s">
        <v>40</v>
      </c>
      <c r="X22" s="114" t="s">
        <v>49</v>
      </c>
      <c r="Y22" s="112" t="s">
        <v>56</v>
      </c>
      <c r="Z22" s="113" t="s">
        <v>40</v>
      </c>
      <c r="AA22" s="114" t="s">
        <v>49</v>
      </c>
      <c r="AB22" s="112" t="s">
        <v>56</v>
      </c>
      <c r="AC22" s="113" t="s">
        <v>40</v>
      </c>
      <c r="AD22" s="114" t="s">
        <v>49</v>
      </c>
      <c r="AE22" s="112" t="s">
        <v>56</v>
      </c>
      <c r="AF22" s="113" t="s">
        <v>40</v>
      </c>
      <c r="AG22" s="114" t="s">
        <v>49</v>
      </c>
      <c r="AH22" s="112" t="s">
        <v>56</v>
      </c>
      <c r="AI22" s="113" t="s">
        <v>40</v>
      </c>
      <c r="AJ22" s="114" t="s">
        <v>49</v>
      </c>
    </row>
    <row r="23" spans="1:37">
      <c r="A23" s="20"/>
      <c r="B23" s="50" t="s">
        <v>4</v>
      </c>
      <c r="C23" s="55">
        <v>1</v>
      </c>
      <c r="D23" s="53">
        <v>1.0079400000000001</v>
      </c>
      <c r="E23" s="277">
        <f>'Fe Sheet'!E23</f>
        <v>0</v>
      </c>
      <c r="F23" s="57">
        <f>(10^E23)*$D23</f>
        <v>1.0079400000000001</v>
      </c>
      <c r="G23" s="57">
        <f t="shared" ref="G23:G52" si="6">F23/(SUM($F$23:$F$52))</f>
        <v>0.71015657322469128</v>
      </c>
      <c r="H23" s="103" t="str">
        <f>'Fe Sheet'!I23</f>
        <v>Const</v>
      </c>
      <c r="I23" s="102" t="str">
        <f>'Fe Sheet'!H23</f>
        <v>Const</v>
      </c>
      <c r="J23" s="53" t="s">
        <v>36</v>
      </c>
      <c r="L23" s="21"/>
      <c r="M23" s="287">
        <f>$E$23</f>
        <v>0</v>
      </c>
      <c r="N23" s="9">
        <f>(10^M23)*$D23</f>
        <v>1.0079400000000001</v>
      </c>
      <c r="O23" s="10">
        <f t="shared" ref="O23:O52" si="7">N23/(SUM(N$23:N$52))</f>
        <v>0.62858796086704694</v>
      </c>
      <c r="P23" s="5">
        <f t="shared" ref="P23:AH23" si="8">$E$23</f>
        <v>0</v>
      </c>
      <c r="Q23" s="9">
        <f>(10^P23)*$D23</f>
        <v>1.0079400000000001</v>
      </c>
      <c r="R23" s="10">
        <f t="shared" ref="R23:R52" si="9">Q23/(SUM(Q$23:Q$52))</f>
        <v>0.66955342805542306</v>
      </c>
      <c r="S23" s="5">
        <f t="shared" si="8"/>
        <v>0</v>
      </c>
      <c r="T23" s="9">
        <f>(10^S23)*$D23</f>
        <v>1.0079400000000001</v>
      </c>
      <c r="U23" s="10">
        <f t="shared" ref="U23:U52" si="10">T23/(SUM(T$23:T$52))</f>
        <v>0.6857464790726957</v>
      </c>
      <c r="V23" s="5">
        <f t="shared" si="8"/>
        <v>0</v>
      </c>
      <c r="W23" s="9">
        <f>(10^V23)*$D23</f>
        <v>1.0079400000000001</v>
      </c>
      <c r="X23" s="10">
        <f t="shared" ref="X23:X52" si="11">W23/(SUM(W$23:W$52))</f>
        <v>0.69936424507142725</v>
      </c>
      <c r="Y23" s="5">
        <f t="shared" si="8"/>
        <v>0</v>
      </c>
      <c r="Z23" s="9">
        <f>(10^Y23)*$D23</f>
        <v>1.0079400000000001</v>
      </c>
      <c r="AA23" s="10">
        <f t="shared" ref="AA23:AA52" si="12">Z23/(SUM(Z$23:Z$52))</f>
        <v>0.71015651747140784</v>
      </c>
      <c r="AB23" s="5">
        <f>$E$23</f>
        <v>0</v>
      </c>
      <c r="AC23" s="9">
        <f>(10^AB23)*$D23</f>
        <v>1.0079400000000001</v>
      </c>
      <c r="AD23" s="10">
        <f t="shared" ref="AD23:AD52" si="13">AC23/(SUM(AC$23:AC$52))</f>
        <v>0.73832021918774215</v>
      </c>
      <c r="AE23" s="5">
        <f t="shared" si="8"/>
        <v>0</v>
      </c>
      <c r="AF23" s="9">
        <f>(10^AE23)*$D23</f>
        <v>1.0079400000000001</v>
      </c>
      <c r="AG23" s="10">
        <f t="shared" ref="AG23:AG52" si="14">AF23/(SUM(AF$23:AF$52))</f>
        <v>0.74295103655607575</v>
      </c>
      <c r="AH23" s="5">
        <f t="shared" si="8"/>
        <v>0</v>
      </c>
      <c r="AI23" s="9">
        <f>(10^AH23)*$D23</f>
        <v>1.0079400000000001</v>
      </c>
      <c r="AJ23" s="10">
        <f t="shared" ref="AJ23:AJ52" si="15">AI23/(SUM(AI$23:AI$52))</f>
        <v>0.75057345279068832</v>
      </c>
    </row>
    <row r="24" spans="1:37">
      <c r="A24" s="20"/>
      <c r="B24" s="50" t="s">
        <v>24</v>
      </c>
      <c r="C24" s="55">
        <v>2</v>
      </c>
      <c r="D24" s="53">
        <v>4.0026020000000004</v>
      </c>
      <c r="E24" s="277">
        <f>'Fe Sheet'!E24</f>
        <v>-1.01</v>
      </c>
      <c r="F24" s="57">
        <f t="shared" ref="F24:F52" si="16">(10^E24)*$D24</f>
        <v>0.39114916550721696</v>
      </c>
      <c r="G24" s="57">
        <f t="shared" si="6"/>
        <v>0.27558897453846737</v>
      </c>
      <c r="H24" s="103" t="str">
        <f>'Fe Sheet'!I24</f>
        <v>he</v>
      </c>
      <c r="I24" s="102" t="str">
        <f>'Fe Sheet'!H24</f>
        <v>he</v>
      </c>
      <c r="J24" s="53" t="s">
        <v>35</v>
      </c>
      <c r="L24" s="163" t="s">
        <v>78</v>
      </c>
      <c r="M24" s="286">
        <f>-1.0783+LOG(1+$I$18*M$16)</f>
        <v>-0.89118564658982269</v>
      </c>
      <c r="N24" s="166">
        <f t="shared" ref="N24:N52" si="17">(10^M24)*$D24</f>
        <v>0.51422923251412322</v>
      </c>
      <c r="O24" s="167">
        <f t="shared" si="7"/>
        <v>0.32069201012389548</v>
      </c>
      <c r="P24" s="165">
        <f>-1.0783+LOG(1+$I$18*P$16)</f>
        <v>-0.95125736856767951</v>
      </c>
      <c r="Q24" s="166">
        <f t="shared" ref="Q24:Q52" si="18">(10^P24)*$D24</f>
        <v>0.4478009797826692</v>
      </c>
      <c r="R24" s="167">
        <f t="shared" si="9"/>
        <v>0.2974648105046564</v>
      </c>
      <c r="S24" s="165">
        <f>-1.0783+LOG(1+$I$18*S$16)</f>
        <v>-0.97452389435991371</v>
      </c>
      <c r="T24" s="166">
        <f t="shared" ref="T24:T52" si="19">(10^S24)*$D24</f>
        <v>0.42444215772838761</v>
      </c>
      <c r="U24" s="167">
        <f t="shared" si="10"/>
        <v>0.28876690599863042</v>
      </c>
      <c r="V24" s="165">
        <f>-1.0783+LOG(1+$I$18*V$16)</f>
        <v>-0.99393663951220901</v>
      </c>
      <c r="W24" s="166">
        <f t="shared" ref="W24:W52" si="20">(10^V24)*$D24</f>
        <v>0.40588758584077173</v>
      </c>
      <c r="X24" s="167">
        <f t="shared" si="11"/>
        <v>0.28162714551996687</v>
      </c>
      <c r="Y24" s="165">
        <f>-1.0783+LOG(1+$I$18*Y$16)</f>
        <v>-1.01</v>
      </c>
      <c r="Z24" s="166">
        <f t="shared" ref="Z24:Z52" si="21">(10^Y24)*$D24</f>
        <v>0.39114916550721696</v>
      </c>
      <c r="AA24" s="167">
        <f t="shared" si="12"/>
        <v>0.27558895290240742</v>
      </c>
      <c r="AB24" s="165">
        <f>-1.0783+LOG(1+$I$18*AB$16)</f>
        <v>-1.0555187397769983</v>
      </c>
      <c r="AC24" s="166">
        <f t="shared" ref="AC24:AC52" si="22">(10^AB24)*$D24</f>
        <v>0.35222783087642029</v>
      </c>
      <c r="AD24" s="167">
        <f t="shared" si="13"/>
        <v>0.25800834305286185</v>
      </c>
      <c r="AE24" s="165">
        <f>-1.0783+LOG(1+$I$18*AE$16)</f>
        <v>-1.0637875171898661</v>
      </c>
      <c r="AF24" s="166">
        <f t="shared" ref="AF24:AF52" si="23">(10^AE24)*$D24</f>
        <v>0.34558500560327488</v>
      </c>
      <c r="AG24" s="167">
        <f t="shared" si="14"/>
        <v>0.25473018049803592</v>
      </c>
      <c r="AH24" s="165">
        <f>-1.0783+LOG(1+$I$18*AH$16)</f>
        <v>-1.0775609929016006</v>
      </c>
      <c r="AI24" s="166">
        <f t="shared" ref="AI24:AI52" si="24">(10^AH24)*$D24</f>
        <v>0.3347968900425809</v>
      </c>
      <c r="AJ24" s="167">
        <f t="shared" si="15"/>
        <v>0.24931013526881002</v>
      </c>
      <c r="AK24" s="164"/>
    </row>
    <row r="25" spans="1:37">
      <c r="A25" s="20"/>
      <c r="B25" s="50" t="s">
        <v>27</v>
      </c>
      <c r="C25" s="55">
        <v>3</v>
      </c>
      <c r="D25" s="53">
        <v>6.9409999999999998</v>
      </c>
      <c r="E25" s="277">
        <f>'Fe Sheet'!E25</f>
        <v>-8.7219999999999995</v>
      </c>
      <c r="F25" s="57">
        <f t="shared" si="16"/>
        <v>1.3165035799126567E-8</v>
      </c>
      <c r="G25" s="57">
        <f t="shared" si="6"/>
        <v>9.2755885365082327E-9</v>
      </c>
      <c r="H25" s="103" t="str">
        <f>'Fe Sheet'!I25</f>
        <v>Const</v>
      </c>
      <c r="I25" s="102" t="str">
        <f>'Fe Sheet'!H25</f>
        <v>Const</v>
      </c>
      <c r="J25" s="53" t="s">
        <v>36</v>
      </c>
      <c r="L25" s="21"/>
      <c r="M25" s="287">
        <f>$E25</f>
        <v>-8.7219999999999995</v>
      </c>
      <c r="N25" s="9">
        <f t="shared" si="17"/>
        <v>1.3165035799126567E-8</v>
      </c>
      <c r="O25" s="10">
        <f t="shared" si="7"/>
        <v>8.2101940668240581E-9</v>
      </c>
      <c r="P25" s="5">
        <f t="shared" ref="P25:AH25" si="25">$E25</f>
        <v>-8.7219999999999995</v>
      </c>
      <c r="Q25" s="9">
        <f t="shared" si="18"/>
        <v>1.3165035799126567E-8</v>
      </c>
      <c r="R25" s="10">
        <f t="shared" si="9"/>
        <v>8.7452575051863787E-9</v>
      </c>
      <c r="S25" s="5">
        <f t="shared" si="25"/>
        <v>-8.7219999999999995</v>
      </c>
      <c r="T25" s="9">
        <f t="shared" si="19"/>
        <v>1.3165035799126567E-8</v>
      </c>
      <c r="U25" s="10">
        <f t="shared" si="10"/>
        <v>8.9567602695765966E-9</v>
      </c>
      <c r="V25" s="5">
        <f t="shared" si="25"/>
        <v>-8.7219999999999995</v>
      </c>
      <c r="W25" s="9">
        <f t="shared" si="20"/>
        <v>1.3165035799126567E-8</v>
      </c>
      <c r="X25" s="10">
        <f t="shared" si="11"/>
        <v>9.1346263894621347E-9</v>
      </c>
      <c r="Y25" s="5">
        <f t="shared" si="25"/>
        <v>-8.7219999999999995</v>
      </c>
      <c r="Z25" s="9">
        <f t="shared" si="21"/>
        <v>1.3165035799126567E-8</v>
      </c>
      <c r="AA25" s="10">
        <f t="shared" si="12"/>
        <v>9.2755878082962633E-9</v>
      </c>
      <c r="AB25" s="5">
        <f t="shared" si="25"/>
        <v>-8.7219999999999995</v>
      </c>
      <c r="AC25" s="9">
        <f t="shared" si="22"/>
        <v>1.3165035799126567E-8</v>
      </c>
      <c r="AD25" s="10">
        <f t="shared" si="13"/>
        <v>9.6434431779923401E-9</v>
      </c>
      <c r="AE25" s="5">
        <f t="shared" si="25"/>
        <v>-8.7219999999999995</v>
      </c>
      <c r="AF25" s="9">
        <f t="shared" si="23"/>
        <v>1.3165035799126567E-8</v>
      </c>
      <c r="AG25" s="10">
        <f t="shared" si="14"/>
        <v>9.7039278064755128E-9</v>
      </c>
      <c r="AH25" s="5">
        <f t="shared" si="25"/>
        <v>-8.7219999999999995</v>
      </c>
      <c r="AI25" s="9">
        <f t="shared" si="24"/>
        <v>1.3165035799126567E-8</v>
      </c>
      <c r="AJ25" s="10">
        <f t="shared" si="15"/>
        <v>9.8034866915326763E-9</v>
      </c>
    </row>
    <row r="26" spans="1:37">
      <c r="A26" s="20"/>
      <c r="B26" s="50" t="s">
        <v>28</v>
      </c>
      <c r="C26" s="55">
        <v>4</v>
      </c>
      <c r="D26" s="53">
        <v>9.0121819999999992</v>
      </c>
      <c r="E26" s="277">
        <f>'Fe Sheet'!E26</f>
        <v>-10.68</v>
      </c>
      <c r="F26" s="57">
        <f t="shared" si="16"/>
        <v>1.8829116983152398E-10</v>
      </c>
      <c r="G26" s="57">
        <f t="shared" si="6"/>
        <v>1.3266286875808426E-10</v>
      </c>
      <c r="H26" s="103" t="str">
        <f>'Fe Sheet'!I26</f>
        <v>Const</v>
      </c>
      <c r="I26" s="102" t="str">
        <f>'Fe Sheet'!H26</f>
        <v>Const</v>
      </c>
      <c r="J26" s="53" t="s">
        <v>36</v>
      </c>
      <c r="L26" s="21"/>
      <c r="M26" s="287">
        <f t="shared" ref="M26:AH27" si="26">$E26</f>
        <v>-10.68</v>
      </c>
      <c r="N26" s="9">
        <f t="shared" si="17"/>
        <v>1.8829116983152398E-10</v>
      </c>
      <c r="O26" s="10">
        <f t="shared" si="7"/>
        <v>1.1742520635520812E-10</v>
      </c>
      <c r="P26" s="5">
        <f t="shared" si="26"/>
        <v>-10.68</v>
      </c>
      <c r="Q26" s="9">
        <f t="shared" si="18"/>
        <v>1.8829116983152398E-10</v>
      </c>
      <c r="R26" s="10">
        <f t="shared" si="9"/>
        <v>1.2507787986711782E-10</v>
      </c>
      <c r="S26" s="5">
        <f t="shared" si="26"/>
        <v>-10.68</v>
      </c>
      <c r="T26" s="9">
        <f t="shared" si="19"/>
        <v>1.8829116983152398E-10</v>
      </c>
      <c r="U26" s="10">
        <f t="shared" si="10"/>
        <v>1.2810286996492503E-10</v>
      </c>
      <c r="V26" s="5">
        <f t="shared" si="26"/>
        <v>-10.68</v>
      </c>
      <c r="W26" s="9">
        <f t="shared" si="20"/>
        <v>1.8829116983152398E-10</v>
      </c>
      <c r="X26" s="10">
        <f t="shared" si="11"/>
        <v>1.3064677643792256E-10</v>
      </c>
      <c r="Y26" s="5">
        <f t="shared" si="26"/>
        <v>-10.68</v>
      </c>
      <c r="Z26" s="9">
        <f t="shared" si="21"/>
        <v>1.8829116983152398E-10</v>
      </c>
      <c r="AA26" s="10">
        <f t="shared" si="12"/>
        <v>1.3266285834292961E-10</v>
      </c>
      <c r="AB26" s="5">
        <f t="shared" si="26"/>
        <v>-10.68</v>
      </c>
      <c r="AC26" s="9">
        <f t="shared" si="22"/>
        <v>1.8829116983152398E-10</v>
      </c>
      <c r="AD26" s="10">
        <f t="shared" si="13"/>
        <v>1.3792406073886062E-10</v>
      </c>
      <c r="AE26" s="5">
        <f t="shared" si="26"/>
        <v>-10.68</v>
      </c>
      <c r="AF26" s="9">
        <f t="shared" si="23"/>
        <v>1.8829116983152398E-10</v>
      </c>
      <c r="AG26" s="10">
        <f t="shared" si="14"/>
        <v>1.3878913407612243E-10</v>
      </c>
      <c r="AH26" s="5">
        <f t="shared" si="26"/>
        <v>-10.68</v>
      </c>
      <c r="AI26" s="9">
        <f t="shared" si="24"/>
        <v>1.8829116983152398E-10</v>
      </c>
      <c r="AJ26" s="10">
        <f t="shared" si="15"/>
        <v>1.4021306176006988E-10</v>
      </c>
    </row>
    <row r="27" spans="1:37">
      <c r="A27" s="20"/>
      <c r="B27" s="50" t="s">
        <v>34</v>
      </c>
      <c r="C27" s="55">
        <v>5</v>
      </c>
      <c r="D27" s="53">
        <v>10.811</v>
      </c>
      <c r="E27" s="277">
        <f>'Fe Sheet'!E27</f>
        <v>-9.1929999999999996</v>
      </c>
      <c r="F27" s="57">
        <f t="shared" si="16"/>
        <v>6.9321167324621858E-9</v>
      </c>
      <c r="G27" s="57">
        <f t="shared" si="6"/>
        <v>4.8841084428824036E-9</v>
      </c>
      <c r="H27" s="103" t="str">
        <f>'Fe Sheet'!I27</f>
        <v>Const</v>
      </c>
      <c r="I27" s="102" t="str">
        <f>'Fe Sheet'!H27</f>
        <v>Const</v>
      </c>
      <c r="J27" s="53" t="s">
        <v>36</v>
      </c>
      <c r="L27" s="21"/>
      <c r="M27" s="287">
        <f t="shared" si="26"/>
        <v>-9.1929999999999996</v>
      </c>
      <c r="N27" s="9">
        <f t="shared" si="17"/>
        <v>6.9321167324621858E-9</v>
      </c>
      <c r="O27" s="10">
        <f t="shared" si="7"/>
        <v>4.3231195521070111E-9</v>
      </c>
      <c r="P27" s="5">
        <f t="shared" si="26"/>
        <v>-9.1929999999999996</v>
      </c>
      <c r="Q27" s="9">
        <f t="shared" si="18"/>
        <v>6.9321167324621858E-9</v>
      </c>
      <c r="R27" s="10">
        <f t="shared" si="9"/>
        <v>4.6048599340242619E-9</v>
      </c>
      <c r="S27" s="5">
        <f t="shared" si="26"/>
        <v>-9.1929999999999996</v>
      </c>
      <c r="T27" s="9">
        <f t="shared" si="19"/>
        <v>6.9321167324621858E-9</v>
      </c>
      <c r="U27" s="10">
        <f t="shared" si="10"/>
        <v>4.716227793129416E-9</v>
      </c>
      <c r="V27" s="5">
        <f t="shared" si="26"/>
        <v>-9.1929999999999996</v>
      </c>
      <c r="W27" s="9">
        <f t="shared" si="20"/>
        <v>6.9321167324621858E-9</v>
      </c>
      <c r="X27" s="10">
        <f t="shared" si="11"/>
        <v>4.8098841055473792E-9</v>
      </c>
      <c r="Y27" s="5">
        <f t="shared" si="26"/>
        <v>-9.1929999999999996</v>
      </c>
      <c r="Z27" s="9">
        <f t="shared" si="21"/>
        <v>6.9321167324621858E-9</v>
      </c>
      <c r="AA27" s="10">
        <f t="shared" si="12"/>
        <v>4.8841080594386782E-9</v>
      </c>
      <c r="AB27" s="5">
        <f t="shared" si="26"/>
        <v>-9.1929999999999996</v>
      </c>
      <c r="AC27" s="9">
        <f t="shared" si="22"/>
        <v>6.9321167324621858E-9</v>
      </c>
      <c r="AD27" s="10">
        <f t="shared" si="13"/>
        <v>5.0778041801560567E-9</v>
      </c>
      <c r="AE27" s="5">
        <f t="shared" si="26"/>
        <v>-9.1929999999999996</v>
      </c>
      <c r="AF27" s="9">
        <f t="shared" si="23"/>
        <v>6.9321167324621858E-9</v>
      </c>
      <c r="AG27" s="10">
        <f t="shared" si="14"/>
        <v>5.1096526697129763E-9</v>
      </c>
      <c r="AH27" s="5">
        <f t="shared" si="26"/>
        <v>-9.1929999999999996</v>
      </c>
      <c r="AI27" s="9">
        <f t="shared" si="24"/>
        <v>6.9321167324621858E-9</v>
      </c>
      <c r="AJ27" s="10">
        <f t="shared" si="15"/>
        <v>5.162075908320185E-9</v>
      </c>
    </row>
    <row r="28" spans="1:37">
      <c r="A28" s="20"/>
      <c r="B28" s="50" t="s">
        <v>25</v>
      </c>
      <c r="C28" s="55">
        <v>6</v>
      </c>
      <c r="D28" s="53">
        <v>12.0107</v>
      </c>
      <c r="E28" s="284">
        <f>'Fe Sheet'!E28</f>
        <v>-3.577</v>
      </c>
      <c r="F28" s="57">
        <f t="shared" si="16"/>
        <v>3.1810340614763467E-3</v>
      </c>
      <c r="G28" s="57">
        <f t="shared" si="6"/>
        <v>2.2412368279947858E-3</v>
      </c>
      <c r="H28" s="103">
        <f>'Fe Sheet'!I28</f>
        <v>-0.437</v>
      </c>
      <c r="I28" s="102">
        <f>'Fe Sheet'!H28</f>
        <v>6.3E-2</v>
      </c>
      <c r="J28" s="155">
        <f>H28+$J$30</f>
        <v>-0.3477964417027401</v>
      </c>
      <c r="L28" s="261"/>
      <c r="M28" s="287">
        <f t="shared" ref="M28:M52" si="27">IF(M$17&gt;$C$3,($H28/$C$2)*$C$3,IF(M$17&gt;$C$2,($H28/$C$2)*M$17,$H28))+$E28+M$17</f>
        <v>-2.8584999999999998</v>
      </c>
      <c r="N28" s="9">
        <f t="shared" ref="N28" si="28">(10^M28)*$D28</f>
        <v>1.6636743445082931E-2</v>
      </c>
      <c r="O28" s="10">
        <f t="shared" si="7"/>
        <v>1.0375276938719456E-2</v>
      </c>
      <c r="P28" s="5">
        <f t="shared" ref="P28:P52" si="29">IF(P$17&gt;$C$3,($H28/$C$2)*$C$3,IF(P$17&gt;$C$2,($H28/$C$2)*P$17,$H28))+$E28+P$17</f>
        <v>-3.0584999999999996</v>
      </c>
      <c r="Q28" s="9">
        <f t="shared" ref="Q28" si="30">(10^P28)*$D28</f>
        <v>1.0497075464907791E-2</v>
      </c>
      <c r="R28" s="10">
        <f t="shared" si="9"/>
        <v>6.9729873425853576E-3</v>
      </c>
      <c r="S28" s="5">
        <f t="shared" ref="S28:S52" si="31">IF(S$17&gt;$C$3,($H28/$C$2)*$C$3,IF(S$17&gt;$C$2,($H28/$C$2)*S$17,$H28))+$E28+S$17</f>
        <v>-3.2021999999999999</v>
      </c>
      <c r="T28" s="9">
        <f t="shared" ref="T28" si="32">(10^S28)*$D28</f>
        <v>7.5399474564326789E-3</v>
      </c>
      <c r="U28" s="10">
        <f t="shared" si="10"/>
        <v>5.1297621094924667E-3</v>
      </c>
      <c r="V28" s="5">
        <f t="shared" ref="V28:V52" si="33">IF(V$17&gt;$C$3,($H28/$C$2)*$C$3,IF(V$17&gt;$C$2,($H28/$C$2)*V$17,$H28))+$E28+V$17</f>
        <v>-3.3895999999999997</v>
      </c>
      <c r="W28" s="9">
        <f t="shared" ref="W28" si="34">(10^V28)*$D28</f>
        <v>4.8974309265832749E-3</v>
      </c>
      <c r="X28" s="10">
        <f t="shared" si="11"/>
        <v>3.3981071122878071E-3</v>
      </c>
      <c r="Y28" s="5">
        <f t="shared" ref="Y28:Y52" si="35">IF(Y$17&gt;$C$3,($H28/$C$2)*$C$3,IF(Y$17&gt;$C$2,($H28/$C$2)*Y$17,$H28))+$E28+Y$17</f>
        <v>-3.577</v>
      </c>
      <c r="Z28" s="9">
        <f t="shared" ref="Z28" si="36">(10^Y28)*$D28</f>
        <v>3.1810340614763467E-3</v>
      </c>
      <c r="AA28" s="10">
        <f t="shared" si="12"/>
        <v>2.2412366520387825E-3</v>
      </c>
      <c r="AB28" s="5">
        <f t="shared" ref="AB28:AB52" si="37">IF(AB$17&gt;$C$3,($H28/$C$2)*$C$3,IF(AB$17&gt;$C$2,($H28/$C$2)*AB$17,$H28))+$E28+AB$17</f>
        <v>-4.5140000000000002</v>
      </c>
      <c r="AC28" s="9">
        <f t="shared" ref="AC28" si="38">(10^AB28)*$D28</f>
        <v>3.6776324213028534E-4</v>
      </c>
      <c r="AD28" s="10">
        <f t="shared" si="13"/>
        <v>2.6938809605614119E-4</v>
      </c>
      <c r="AE28" s="5">
        <f t="shared" ref="AE28:AE52" si="39">IF(AE$17&gt;$C$3,($H28/$C$2)*$C$3,IF(AE$17&gt;$C$2,($H28/$C$2)*AE$17,$H28))+$E28+AE$17</f>
        <v>-4.7140000000000004</v>
      </c>
      <c r="AF28" s="9">
        <f t="shared" ref="AF28" si="40">(10^AE28)*$D28</f>
        <v>2.3204291865195118E-4</v>
      </c>
      <c r="AG28" s="10">
        <f t="shared" si="14"/>
        <v>1.7103848139568255E-4</v>
      </c>
      <c r="AH28" s="5">
        <f t="shared" ref="AH28:AH52" si="41">IF(AH$17&gt;$C$3,($H28/$C$2)*$C$3,IF(AH$17&gt;$C$2,($H28/$C$2)*AH$17,$H28))+$E28+AH$17</f>
        <v>-6.0140000000000002</v>
      </c>
      <c r="AI28" s="9">
        <f t="shared" ref="AI28" si="42">(10^AH28)*$D28</f>
        <v>1.162969484819696E-5</v>
      </c>
      <c r="AJ28" s="10">
        <f t="shared" si="15"/>
        <v>8.66017840061241E-6</v>
      </c>
    </row>
    <row r="29" spans="1:37" ht="16" thickBot="1">
      <c r="A29" s="272" t="s">
        <v>87</v>
      </c>
      <c r="B29" s="262" t="s">
        <v>26</v>
      </c>
      <c r="C29" s="263">
        <v>7</v>
      </c>
      <c r="D29" s="264">
        <v>14.0067</v>
      </c>
      <c r="E29" s="279">
        <f>'Fe Sheet'!E29</f>
        <v>-4.21</v>
      </c>
      <c r="F29" s="266">
        <f t="shared" si="16"/>
        <v>8.6364612125732182E-4</v>
      </c>
      <c r="G29" s="266">
        <f t="shared" si="6"/>
        <v>6.0849253918972941E-4</v>
      </c>
      <c r="H29" s="279">
        <f>'Fe Sheet'!I29</f>
        <v>-0.76400000000000001</v>
      </c>
      <c r="I29" s="279">
        <f>'Fe Sheet'!H29</f>
        <v>-0.26400000000000001</v>
      </c>
      <c r="J29" s="279">
        <f>'Fe Sheet'!J29</f>
        <v>-0.67477635319290985</v>
      </c>
      <c r="K29" s="270"/>
      <c r="L29" s="303" t="s">
        <v>89</v>
      </c>
      <c r="M29" s="306">
        <f>$E29+LOG(10^(-0.764) + 10^(M17-0.082))+M17</f>
        <v>-3.2643382268361285</v>
      </c>
      <c r="N29" s="267">
        <f t="shared" si="17"/>
        <v>7.6207479872972012E-3</v>
      </c>
      <c r="O29" s="268">
        <f t="shared" si="7"/>
        <v>4.7525749921788988E-3</v>
      </c>
      <c r="P29" s="307">
        <f>$E29+LOG(10^(-0.764) + 10^(P17-0.082))+P17</f>
        <v>-3.6489397725144448</v>
      </c>
      <c r="Q29" s="267">
        <f t="shared" si="18"/>
        <v>3.1433739836388853E-3</v>
      </c>
      <c r="R29" s="268">
        <f t="shared" si="9"/>
        <v>2.0880774911261057E-3</v>
      </c>
      <c r="S29" s="307">
        <f>$E29+LOG(10^(-0.764) + 10^(S17-0.082))+S17</f>
        <v>-3.8384529290180103</v>
      </c>
      <c r="T29" s="267">
        <f t="shared" si="19"/>
        <v>2.0318090849207686E-3</v>
      </c>
      <c r="U29" s="268">
        <f t="shared" si="10"/>
        <v>1.3823302241525613E-3</v>
      </c>
      <c r="V29" s="307">
        <f>$E29+LOG(10^(-0.764) + 10^(V17-0.082))+V17</f>
        <v>-4.0256009479068435</v>
      </c>
      <c r="W29" s="267">
        <f t="shared" si="20"/>
        <v>1.3204892773182927E-3</v>
      </c>
      <c r="X29" s="268">
        <f t="shared" si="11"/>
        <v>9.1622813516342456E-4</v>
      </c>
      <c r="Y29" s="307">
        <f>$E29+LOG(10^(-0.764) + 10^(Y17-0.082))+Y17</f>
        <v>-4.209943970414467</v>
      </c>
      <c r="Z29" s="267">
        <f t="shared" si="21"/>
        <v>8.6375754992570615E-4</v>
      </c>
      <c r="AA29" s="268">
        <f t="shared" si="12"/>
        <v>6.0857099985601841E-4</v>
      </c>
      <c r="AB29" s="307">
        <f>$E29+LOG(10^(-0.764) + 10^(AB17-0.082))+AB17</f>
        <v>-5.0725051086975919</v>
      </c>
      <c r="AC29" s="267">
        <f t="shared" si="22"/>
        <v>1.1853066424572298E-4</v>
      </c>
      <c r="AD29" s="268">
        <f t="shared" si="13"/>
        <v>8.6824201843731623E-5</v>
      </c>
      <c r="AE29" s="307">
        <f>$E29+LOG(10^(-0.764) + 10^(AE17-0.082))+AE17</f>
        <v>-5.3818767563137513</v>
      </c>
      <c r="AF29" s="267">
        <f t="shared" si="23"/>
        <v>5.8137863858165478E-5</v>
      </c>
      <c r="AG29" s="268">
        <f t="shared" si="14"/>
        <v>4.2853330770264156E-5</v>
      </c>
      <c r="AH29" s="307">
        <f>$E29+LOG(10^(-0.764) + 10^(AH17-0.082))+AH17</f>
        <v>-6.9536039358825006</v>
      </c>
      <c r="AI29" s="267">
        <f t="shared" si="24"/>
        <v>1.5585900199330886E-6</v>
      </c>
      <c r="AJ29" s="268">
        <f t="shared" si="15"/>
        <v>1.1606209623055798E-6</v>
      </c>
    </row>
    <row r="30" spans="1:37" ht="16" thickBot="1">
      <c r="A30" s="20"/>
      <c r="B30" s="234" t="s">
        <v>5</v>
      </c>
      <c r="C30" s="235">
        <v>8</v>
      </c>
      <c r="D30" s="235">
        <v>15.9994</v>
      </c>
      <c r="E30" s="280">
        <f>'Fe Sheet'!E30</f>
        <v>-3.24</v>
      </c>
      <c r="F30" s="236">
        <f t="shared" si="16"/>
        <v>9.2066937334320982E-3</v>
      </c>
      <c r="G30" s="237">
        <f t="shared" si="6"/>
        <v>6.4866897558023074E-3</v>
      </c>
      <c r="H30" s="280">
        <f>'Fe Sheet'!I30</f>
        <v>0</v>
      </c>
      <c r="I30" s="280">
        <f>'Fe Sheet'!H30</f>
        <v>0.5</v>
      </c>
      <c r="J30" s="219">
        <f>B58</f>
        <v>8.9203558297259899E-2</v>
      </c>
      <c r="L30" s="21"/>
      <c r="M30" s="287">
        <f t="shared" si="27"/>
        <v>-2.74</v>
      </c>
      <c r="N30" s="9">
        <f t="shared" si="17"/>
        <v>2.9114121917244527E-2</v>
      </c>
      <c r="O30" s="10">
        <f t="shared" si="7"/>
        <v>1.8156622942233996E-2</v>
      </c>
      <c r="P30" s="305">
        <f t="shared" si="29"/>
        <v>-2.9400000000000004</v>
      </c>
      <c r="Q30" s="9">
        <f t="shared" si="18"/>
        <v>1.8369769051777202E-2</v>
      </c>
      <c r="R30" s="10">
        <f t="shared" si="9"/>
        <v>1.2202652778145369E-2</v>
      </c>
      <c r="S30" s="5">
        <f t="shared" si="31"/>
        <v>-3.04</v>
      </c>
      <c r="T30" s="9">
        <f t="shared" si="19"/>
        <v>1.4591626223190924E-2</v>
      </c>
      <c r="U30" s="10">
        <f t="shared" si="10"/>
        <v>9.9273332802527845E-3</v>
      </c>
      <c r="V30" s="5">
        <f t="shared" si="33"/>
        <v>-3.14</v>
      </c>
      <c r="W30" s="9">
        <f t="shared" si="20"/>
        <v>1.1590540699623784E-2</v>
      </c>
      <c r="X30" s="10">
        <f t="shared" si="11"/>
        <v>8.0421550353811135E-3</v>
      </c>
      <c r="Y30" s="5">
        <f t="shared" si="35"/>
        <v>-3.24</v>
      </c>
      <c r="Z30" s="9">
        <f t="shared" si="21"/>
        <v>9.2066937334320982E-3</v>
      </c>
      <c r="AA30" s="10">
        <f t="shared" si="12"/>
        <v>6.4866892465424257E-3</v>
      </c>
      <c r="AB30" s="5">
        <f t="shared" si="37"/>
        <v>-3.74</v>
      </c>
      <c r="AC30" s="9">
        <f t="shared" si="22"/>
        <v>2.9114121917244522E-3</v>
      </c>
      <c r="AD30" s="10">
        <f t="shared" si="13"/>
        <v>2.1326214730438939E-3</v>
      </c>
      <c r="AE30" s="5">
        <f t="shared" si="39"/>
        <v>-3.9400000000000004</v>
      </c>
      <c r="AF30" s="9">
        <f t="shared" si="23"/>
        <v>1.8369769051777198E-3</v>
      </c>
      <c r="AG30" s="10">
        <f t="shared" si="14"/>
        <v>1.3540328748054041E-3</v>
      </c>
      <c r="AH30" s="5">
        <f t="shared" si="41"/>
        <v>-5.24</v>
      </c>
      <c r="AI30" s="9">
        <f t="shared" si="24"/>
        <v>9.2066937334320942E-5</v>
      </c>
      <c r="AJ30" s="10">
        <f t="shared" si="15"/>
        <v>6.8558643414176637E-5</v>
      </c>
    </row>
    <row r="31" spans="1:37">
      <c r="A31" s="20"/>
      <c r="B31" s="50" t="s">
        <v>29</v>
      </c>
      <c r="C31" s="55">
        <v>9</v>
      </c>
      <c r="D31" s="53">
        <v>18.9984</v>
      </c>
      <c r="E31" s="277">
        <f>'Fe Sheet'!E31</f>
        <v>-7.56</v>
      </c>
      <c r="F31" s="57">
        <f t="shared" si="16"/>
        <v>5.2325938597499695E-7</v>
      </c>
      <c r="G31" s="57">
        <f t="shared" si="6"/>
        <v>3.6866886168984256E-7</v>
      </c>
      <c r="H31" s="103">
        <f>'Fe Sheet'!I31</f>
        <v>0</v>
      </c>
      <c r="I31" s="102">
        <f>'Fe Sheet'!H31</f>
        <v>0.5</v>
      </c>
      <c r="J31" s="155">
        <f>H31+J30</f>
        <v>8.9203558297259899E-2</v>
      </c>
      <c r="L31" s="21"/>
      <c r="M31" s="287">
        <f t="shared" si="27"/>
        <v>-7.06</v>
      </c>
      <c r="N31" s="9">
        <f t="shared" si="17"/>
        <v>1.6546914667421603E-6</v>
      </c>
      <c r="O31" s="10">
        <f t="shared" si="7"/>
        <v>1.0319256453197189E-6</v>
      </c>
      <c r="P31" s="5">
        <f t="shared" si="29"/>
        <v>-7.26</v>
      </c>
      <c r="Q31" s="9">
        <f t="shared" si="18"/>
        <v>1.0440397337896675E-6</v>
      </c>
      <c r="R31" s="10">
        <f t="shared" si="9"/>
        <v>6.9353372500837668E-7</v>
      </c>
      <c r="S31" s="5">
        <f t="shared" si="31"/>
        <v>-7.3599999999999994</v>
      </c>
      <c r="T31" s="9">
        <f t="shared" si="19"/>
        <v>8.2931023872315631E-7</v>
      </c>
      <c r="U31" s="10">
        <f t="shared" si="10"/>
        <v>5.6421669569948715E-7</v>
      </c>
      <c r="V31" s="5">
        <f t="shared" si="33"/>
        <v>-7.46</v>
      </c>
      <c r="W31" s="9">
        <f t="shared" si="20"/>
        <v>6.5874453796373781E-7</v>
      </c>
      <c r="X31" s="10">
        <f t="shared" si="11"/>
        <v>4.5707321515956864E-7</v>
      </c>
      <c r="Y31" s="5">
        <f t="shared" si="35"/>
        <v>-7.56</v>
      </c>
      <c r="Z31" s="9">
        <f t="shared" si="21"/>
        <v>5.2325938597499695E-7</v>
      </c>
      <c r="AA31" s="10">
        <f t="shared" si="12"/>
        <v>3.6866883274622605E-7</v>
      </c>
      <c r="AB31" s="5">
        <f t="shared" si="37"/>
        <v>-8.0599999999999987</v>
      </c>
      <c r="AC31" s="9">
        <f t="shared" si="22"/>
        <v>1.654691466742164E-7</v>
      </c>
      <c r="AD31" s="10">
        <f t="shared" si="13"/>
        <v>1.2120683437636775E-7</v>
      </c>
      <c r="AE31" s="5">
        <f t="shared" si="39"/>
        <v>-8.26</v>
      </c>
      <c r="AF31" s="9">
        <f t="shared" si="23"/>
        <v>1.0440397337896665E-7</v>
      </c>
      <c r="AG31" s="10">
        <f t="shared" si="14"/>
        <v>7.6956009526833156E-8</v>
      </c>
      <c r="AH31" s="5">
        <f t="shared" si="41"/>
        <v>-9.5599999999999987</v>
      </c>
      <c r="AI31" s="9">
        <f t="shared" si="24"/>
        <v>5.2325938597499944E-9</v>
      </c>
      <c r="AJ31" s="10">
        <f t="shared" si="15"/>
        <v>3.8965077686805841E-9</v>
      </c>
    </row>
    <row r="32" spans="1:37">
      <c r="A32" s="20"/>
      <c r="B32" s="50" t="s">
        <v>30</v>
      </c>
      <c r="C32" s="55">
        <v>10</v>
      </c>
      <c r="D32" s="53">
        <v>20.1797</v>
      </c>
      <c r="E32" s="277">
        <f>'Fe Sheet'!E32</f>
        <v>-3.91</v>
      </c>
      <c r="F32" s="57">
        <f t="shared" si="16"/>
        <v>2.4826454714362576E-3</v>
      </c>
      <c r="G32" s="57">
        <f t="shared" si="6"/>
        <v>1.7491785230539228E-3</v>
      </c>
      <c r="H32" s="103">
        <f>'Fe Sheet'!I32</f>
        <v>0</v>
      </c>
      <c r="I32" s="102">
        <f>'Fe Sheet'!H32</f>
        <v>0.5</v>
      </c>
      <c r="J32" s="155">
        <f>H32+$J$30</f>
        <v>8.9203558297259899E-2</v>
      </c>
      <c r="L32" s="21"/>
      <c r="M32" s="287">
        <f t="shared" si="27"/>
        <v>-3.41</v>
      </c>
      <c r="N32" s="9">
        <f t="shared" si="17"/>
        <v>7.8508143124410741E-3</v>
      </c>
      <c r="O32" s="10">
        <f t="shared" si="7"/>
        <v>4.8960527013544074E-3</v>
      </c>
      <c r="P32" s="5">
        <f t="shared" si="29"/>
        <v>-3.6100000000000003</v>
      </c>
      <c r="Q32" s="9">
        <f t="shared" si="18"/>
        <v>4.953528950584915E-3</v>
      </c>
      <c r="R32" s="10">
        <f t="shared" si="9"/>
        <v>3.2905255172291131E-3</v>
      </c>
      <c r="S32" s="5">
        <f t="shared" si="31"/>
        <v>-3.71</v>
      </c>
      <c r="T32" s="9">
        <f t="shared" si="19"/>
        <v>3.9347279069737425E-3</v>
      </c>
      <c r="U32" s="10">
        <f t="shared" si="10"/>
        <v>2.6769706612658701E-3</v>
      </c>
      <c r="V32" s="5">
        <f t="shared" si="33"/>
        <v>-3.81</v>
      </c>
      <c r="W32" s="9">
        <f t="shared" si="20"/>
        <v>3.1254654724668166E-3</v>
      </c>
      <c r="X32" s="10">
        <f t="shared" si="11"/>
        <v>2.1686199581806126E-3</v>
      </c>
      <c r="Y32" s="5">
        <f t="shared" si="35"/>
        <v>-3.91</v>
      </c>
      <c r="Z32" s="9">
        <f t="shared" si="21"/>
        <v>2.4826454714362576E-3</v>
      </c>
      <c r="AA32" s="10">
        <f t="shared" si="12"/>
        <v>1.7491783857286488E-3</v>
      </c>
      <c r="AB32" s="5">
        <f t="shared" si="37"/>
        <v>-4.41</v>
      </c>
      <c r="AC32" s="9">
        <f t="shared" si="22"/>
        <v>7.850814312441081E-4</v>
      </c>
      <c r="AD32" s="10">
        <f t="shared" si="13"/>
        <v>5.7507539575408877E-4</v>
      </c>
      <c r="AE32" s="5">
        <f t="shared" si="39"/>
        <v>-4.6100000000000003</v>
      </c>
      <c r="AF32" s="9">
        <f t="shared" si="23"/>
        <v>4.9535289505849098E-4</v>
      </c>
      <c r="AG32" s="10">
        <f t="shared" si="14"/>
        <v>3.6512386336960424E-4</v>
      </c>
      <c r="AH32" s="5">
        <f t="shared" si="41"/>
        <v>-5.91</v>
      </c>
      <c r="AI32" s="9">
        <f t="shared" si="24"/>
        <v>2.4826454714362564E-5</v>
      </c>
      <c r="AJ32" s="10">
        <f t="shared" si="15"/>
        <v>1.8487288762734658E-5</v>
      </c>
    </row>
    <row r="33" spans="1:36">
      <c r="A33" s="20"/>
      <c r="B33" s="50" t="s">
        <v>6</v>
      </c>
      <c r="C33" s="55">
        <v>11</v>
      </c>
      <c r="D33" s="53">
        <v>22.98977</v>
      </c>
      <c r="E33" s="277">
        <f>'Fe Sheet'!E33</f>
        <v>-5.79</v>
      </c>
      <c r="F33" s="57">
        <f t="shared" si="16"/>
        <v>3.7285041121959353E-5</v>
      </c>
      <c r="G33" s="57">
        <f t="shared" si="6"/>
        <v>2.62696361248808E-5</v>
      </c>
      <c r="H33" s="103">
        <f>'Fe Sheet'!I33</f>
        <v>-0.3</v>
      </c>
      <c r="I33" s="102">
        <f>'Fe Sheet'!H33</f>
        <v>0.2</v>
      </c>
      <c r="J33" s="155">
        <f t="shared" ref="J33:J51" si="43">H33+$J$30</f>
        <v>-0.21079644170274009</v>
      </c>
      <c r="L33" s="21"/>
      <c r="M33" s="287">
        <f t="shared" si="27"/>
        <v>-5.14</v>
      </c>
      <c r="N33" s="9">
        <f t="shared" si="17"/>
        <v>1.6654616101853192E-4</v>
      </c>
      <c r="O33" s="10">
        <f t="shared" si="7"/>
        <v>1.0386422976057486E-4</v>
      </c>
      <c r="P33" s="5">
        <f t="shared" si="29"/>
        <v>-5.34</v>
      </c>
      <c r="Q33" s="9">
        <f t="shared" si="18"/>
        <v>1.0508352348962359E-4</v>
      </c>
      <c r="R33" s="10">
        <f t="shared" si="9"/>
        <v>6.9804783404389195E-5</v>
      </c>
      <c r="S33" s="5">
        <f t="shared" si="31"/>
        <v>-5.47</v>
      </c>
      <c r="T33" s="9">
        <f t="shared" si="19"/>
        <v>7.7899492154843471E-5</v>
      </c>
      <c r="U33" s="10">
        <f t="shared" si="10"/>
        <v>5.2998494421031992E-5</v>
      </c>
      <c r="V33" s="5">
        <f t="shared" si="33"/>
        <v>-5.6300000000000008</v>
      </c>
      <c r="W33" s="9">
        <f t="shared" si="20"/>
        <v>5.3893281291577325E-5</v>
      </c>
      <c r="X33" s="10">
        <f t="shared" si="11"/>
        <v>3.7394124635301748E-5</v>
      </c>
      <c r="Y33" s="5">
        <f t="shared" si="35"/>
        <v>-5.79</v>
      </c>
      <c r="Z33" s="9">
        <f t="shared" si="21"/>
        <v>3.7285041121959353E-5</v>
      </c>
      <c r="AA33" s="10">
        <f t="shared" si="12"/>
        <v>2.6269634062492695E-5</v>
      </c>
      <c r="AB33" s="5">
        <f t="shared" si="37"/>
        <v>-6.59</v>
      </c>
      <c r="AC33" s="9">
        <f t="shared" si="22"/>
        <v>5.9092807854826076E-6</v>
      </c>
      <c r="AD33" s="10">
        <f t="shared" si="13"/>
        <v>4.3285726181909948E-6</v>
      </c>
      <c r="AE33" s="5">
        <f t="shared" si="39"/>
        <v>-6.79</v>
      </c>
      <c r="AF33" s="9">
        <f t="shared" si="23"/>
        <v>3.7285041121959378E-6</v>
      </c>
      <c r="AG33" s="10">
        <f t="shared" si="14"/>
        <v>2.7482746938900758E-6</v>
      </c>
      <c r="AH33" s="5">
        <f t="shared" si="41"/>
        <v>-8.09</v>
      </c>
      <c r="AI33" s="9">
        <f t="shared" si="24"/>
        <v>1.868678661559391E-7</v>
      </c>
      <c r="AJ33" s="10">
        <f t="shared" si="15"/>
        <v>1.3915318324135505E-7</v>
      </c>
    </row>
    <row r="34" spans="1:36">
      <c r="A34" s="20"/>
      <c r="B34" s="50" t="s">
        <v>7</v>
      </c>
      <c r="C34" s="55">
        <v>12</v>
      </c>
      <c r="D34" s="53">
        <v>24.305</v>
      </c>
      <c r="E34" s="277">
        <f>'Fe Sheet'!E34</f>
        <v>-4.4400000000000004</v>
      </c>
      <c r="F34" s="57">
        <f t="shared" si="16"/>
        <v>8.8246121211872967E-4</v>
      </c>
      <c r="G34" s="57">
        <f t="shared" si="6"/>
        <v>6.2174894378826562E-4</v>
      </c>
      <c r="H34" s="103">
        <f>'Fe Sheet'!I34</f>
        <v>-9.9999999999999978E-2</v>
      </c>
      <c r="I34" s="102">
        <f>'Fe Sheet'!H34</f>
        <v>0.4</v>
      </c>
      <c r="J34" s="155">
        <f t="shared" si="43"/>
        <v>-1.0796441702740078E-2</v>
      </c>
      <c r="L34" s="21"/>
      <c r="M34" s="287">
        <f t="shared" si="27"/>
        <v>-3.8900000000000006</v>
      </c>
      <c r="N34" s="9">
        <f t="shared" si="17"/>
        <v>3.1310905353901563E-3</v>
      </c>
      <c r="O34" s="10">
        <f t="shared" si="7"/>
        <v>1.9526616811824198E-3</v>
      </c>
      <c r="P34" s="5">
        <f t="shared" si="29"/>
        <v>-4.0900000000000007</v>
      </c>
      <c r="Q34" s="9">
        <f t="shared" si="18"/>
        <v>1.9755845695368394E-3</v>
      </c>
      <c r="R34" s="10">
        <f t="shared" si="9"/>
        <v>1.3123394457475526E-3</v>
      </c>
      <c r="S34" s="5">
        <f t="shared" si="31"/>
        <v>-4.2</v>
      </c>
      <c r="T34" s="9">
        <f t="shared" si="19"/>
        <v>1.5335418257591085E-3</v>
      </c>
      <c r="U34" s="10">
        <f t="shared" si="10"/>
        <v>1.0433368132279916E-3</v>
      </c>
      <c r="V34" s="5">
        <f t="shared" si="33"/>
        <v>-4.3200000000000012</v>
      </c>
      <c r="W34" s="9">
        <f t="shared" si="20"/>
        <v>1.1633104393901689E-3</v>
      </c>
      <c r="X34" s="10">
        <f t="shared" si="11"/>
        <v>8.0716880690102162E-4</v>
      </c>
      <c r="Y34" s="5">
        <f t="shared" si="35"/>
        <v>-4.4400000000000004</v>
      </c>
      <c r="Z34" s="9">
        <f t="shared" si="21"/>
        <v>8.8246121211872967E-4</v>
      </c>
      <c r="AA34" s="10">
        <f t="shared" si="12"/>
        <v>6.2174889497572708E-4</v>
      </c>
      <c r="AB34" s="5">
        <f t="shared" si="37"/>
        <v>-5.04</v>
      </c>
      <c r="AC34" s="9">
        <f t="shared" si="22"/>
        <v>2.2166423450545352E-4</v>
      </c>
      <c r="AD34" s="10">
        <f t="shared" si="13"/>
        <v>1.6236996865502857E-4</v>
      </c>
      <c r="AE34" s="5">
        <f t="shared" si="39"/>
        <v>-5.24</v>
      </c>
      <c r="AF34" s="9">
        <f t="shared" si="23"/>
        <v>1.3986067676979578E-4</v>
      </c>
      <c r="AG34" s="10">
        <f t="shared" si="14"/>
        <v>1.0309109151294129E-4</v>
      </c>
      <c r="AH34" s="5">
        <f t="shared" si="41"/>
        <v>-6.54</v>
      </c>
      <c r="AI34" s="9">
        <f t="shared" si="24"/>
        <v>7.0096385683492045E-6</v>
      </c>
      <c r="AJ34" s="10">
        <f t="shared" si="15"/>
        <v>5.2198033841901699E-6</v>
      </c>
    </row>
    <row r="35" spans="1:36">
      <c r="A35" s="20"/>
      <c r="B35" s="50" t="s">
        <v>8</v>
      </c>
      <c r="C35" s="55">
        <v>13</v>
      </c>
      <c r="D35" s="53">
        <v>26.981539999999999</v>
      </c>
      <c r="E35" s="277">
        <f>'Fe Sheet'!E35</f>
        <v>-5.57</v>
      </c>
      <c r="F35" s="57">
        <f t="shared" si="16"/>
        <v>7.2621753973546094E-5</v>
      </c>
      <c r="G35" s="57">
        <f t="shared" si="6"/>
        <v>5.1166553508562116E-5</v>
      </c>
      <c r="H35" s="103">
        <f>'Fe Sheet'!I35</f>
        <v>-9.9999999999999978E-2</v>
      </c>
      <c r="I35" s="102">
        <f>'Fe Sheet'!H35</f>
        <v>0.4</v>
      </c>
      <c r="J35" s="155">
        <f t="shared" si="43"/>
        <v>-1.0796441702740078E-2</v>
      </c>
      <c r="L35" s="21"/>
      <c r="M35" s="287">
        <f t="shared" si="27"/>
        <v>-5.0200000000000005</v>
      </c>
      <c r="N35" s="9">
        <f t="shared" si="17"/>
        <v>2.5767170659440767E-4</v>
      </c>
      <c r="O35" s="10">
        <f t="shared" si="7"/>
        <v>1.606934268124201E-4</v>
      </c>
      <c r="P35" s="5">
        <f t="shared" si="29"/>
        <v>-5.2200000000000006</v>
      </c>
      <c r="Q35" s="9">
        <f t="shared" si="18"/>
        <v>1.6257985574048671E-4</v>
      </c>
      <c r="R35" s="10">
        <f t="shared" si="9"/>
        <v>1.0799839250729113E-4</v>
      </c>
      <c r="S35" s="5">
        <f t="shared" si="31"/>
        <v>-5.33</v>
      </c>
      <c r="T35" s="9">
        <f t="shared" si="19"/>
        <v>1.2620214424046181E-4</v>
      </c>
      <c r="U35" s="10">
        <f t="shared" si="10"/>
        <v>8.5860940199139986E-5</v>
      </c>
      <c r="V35" s="5">
        <f t="shared" si="33"/>
        <v>-5.4500000000000011</v>
      </c>
      <c r="W35" s="9">
        <f t="shared" si="20"/>
        <v>9.5734116541412563E-5</v>
      </c>
      <c r="X35" s="10">
        <f t="shared" si="11"/>
        <v>6.6425598887399079E-5</v>
      </c>
      <c r="Y35" s="5">
        <f t="shared" si="35"/>
        <v>-5.57</v>
      </c>
      <c r="Z35" s="9">
        <f t="shared" si="21"/>
        <v>7.2621753973546094E-5</v>
      </c>
      <c r="AA35" s="10">
        <f t="shared" si="12"/>
        <v>5.1166549491555912E-5</v>
      </c>
      <c r="AB35" s="5">
        <f t="shared" si="37"/>
        <v>-6.17</v>
      </c>
      <c r="AC35" s="9">
        <f t="shared" si="22"/>
        <v>1.8241759843857746E-5</v>
      </c>
      <c r="AD35" s="10">
        <f t="shared" si="13"/>
        <v>1.3362164539840867E-5</v>
      </c>
      <c r="AE35" s="5">
        <f t="shared" si="39"/>
        <v>-6.37</v>
      </c>
      <c r="AF35" s="9">
        <f t="shared" si="23"/>
        <v>1.1509772349725909E-5</v>
      </c>
      <c r="AG35" s="10">
        <f t="shared" si="14"/>
        <v>8.4838356427498887E-6</v>
      </c>
      <c r="AH35" s="5">
        <f t="shared" si="41"/>
        <v>-7.67</v>
      </c>
      <c r="AI35" s="9">
        <f t="shared" si="24"/>
        <v>5.7685509636387973E-7</v>
      </c>
      <c r="AJ35" s="10">
        <f t="shared" si="15"/>
        <v>4.2956140389084911E-7</v>
      </c>
    </row>
    <row r="36" spans="1:36">
      <c r="A36" s="20"/>
      <c r="B36" s="50" t="s">
        <v>9</v>
      </c>
      <c r="C36" s="55">
        <v>14</v>
      </c>
      <c r="D36" s="53">
        <v>28.0855</v>
      </c>
      <c r="E36" s="277">
        <f>'Fe Sheet'!E36</f>
        <v>-4.5</v>
      </c>
      <c r="F36" s="57">
        <f t="shared" si="16"/>
        <v>8.8814149224658893E-4</v>
      </c>
      <c r="G36" s="57">
        <f t="shared" si="6"/>
        <v>6.257510552934711E-4</v>
      </c>
      <c r="H36" s="103">
        <f>'Fe Sheet'!I36</f>
        <v>-9.9999999999999978E-2</v>
      </c>
      <c r="I36" s="102">
        <f>'Fe Sheet'!H36</f>
        <v>0.4</v>
      </c>
      <c r="J36" s="155">
        <f t="shared" si="43"/>
        <v>-1.0796441702740078E-2</v>
      </c>
      <c r="L36" s="21"/>
      <c r="M36" s="287">
        <f t="shared" si="27"/>
        <v>-3.95</v>
      </c>
      <c r="N36" s="9">
        <f t="shared" si="17"/>
        <v>3.1512449298297749E-3</v>
      </c>
      <c r="O36" s="10">
        <f t="shared" si="7"/>
        <v>1.9652306929324346E-3</v>
      </c>
      <c r="P36" s="5">
        <f t="shared" si="29"/>
        <v>-4.1500000000000004</v>
      </c>
      <c r="Q36" s="9">
        <f t="shared" si="18"/>
        <v>1.988301132732068E-3</v>
      </c>
      <c r="R36" s="10">
        <f t="shared" si="9"/>
        <v>1.3207867922964034E-3</v>
      </c>
      <c r="S36" s="5">
        <f t="shared" si="31"/>
        <v>-4.26</v>
      </c>
      <c r="T36" s="9">
        <f t="shared" si="19"/>
        <v>1.5434130212728311E-3</v>
      </c>
      <c r="U36" s="10">
        <f t="shared" si="10"/>
        <v>1.0500526272325687E-3</v>
      </c>
      <c r="V36" s="5">
        <f t="shared" si="33"/>
        <v>-4.3800000000000008</v>
      </c>
      <c r="W36" s="9">
        <f t="shared" si="20"/>
        <v>1.1707985069456075E-3</v>
      </c>
      <c r="X36" s="10">
        <f t="shared" si="11"/>
        <v>8.1236444028490672E-4</v>
      </c>
      <c r="Y36" s="5">
        <f t="shared" si="35"/>
        <v>-4.5</v>
      </c>
      <c r="Z36" s="9">
        <f t="shared" si="21"/>
        <v>8.8814149224658893E-4</v>
      </c>
      <c r="AA36" s="10">
        <f t="shared" si="12"/>
        <v>6.2575100616673305E-4</v>
      </c>
      <c r="AB36" s="5">
        <f t="shared" si="37"/>
        <v>-5.0999999999999996</v>
      </c>
      <c r="AC36" s="9">
        <f t="shared" si="22"/>
        <v>2.2309105636348785E-4</v>
      </c>
      <c r="AD36" s="10">
        <f t="shared" si="13"/>
        <v>1.6341512156786643E-4</v>
      </c>
      <c r="AE36" s="5">
        <f t="shared" si="39"/>
        <v>-5.3</v>
      </c>
      <c r="AF36" s="9">
        <f t="shared" si="23"/>
        <v>1.4076094050038745E-4</v>
      </c>
      <c r="AG36" s="10">
        <f t="shared" si="14"/>
        <v>1.0375467453555862E-4</v>
      </c>
      <c r="AH36" s="5">
        <f t="shared" si="41"/>
        <v>-6.6</v>
      </c>
      <c r="AI36" s="9">
        <f t="shared" si="24"/>
        <v>7.054758637216225E-6</v>
      </c>
      <c r="AJ36" s="10">
        <f t="shared" si="15"/>
        <v>5.2534025328296457E-6</v>
      </c>
    </row>
    <row r="37" spans="1:36">
      <c r="A37" s="20"/>
      <c r="B37" s="50" t="s">
        <v>10</v>
      </c>
      <c r="C37" s="55">
        <v>15</v>
      </c>
      <c r="D37" s="53">
        <v>30.973759999999999</v>
      </c>
      <c r="E37" s="277">
        <f>'Fe Sheet'!E37</f>
        <v>-6.59</v>
      </c>
      <c r="F37" s="57">
        <f t="shared" si="16"/>
        <v>7.9614822080494834E-6</v>
      </c>
      <c r="G37" s="57">
        <f t="shared" si="6"/>
        <v>5.6093605994977572E-6</v>
      </c>
      <c r="H37" s="103">
        <f>'Fe Sheet'!I37</f>
        <v>-0.5</v>
      </c>
      <c r="I37" s="102">
        <f>'Fe Sheet'!H37</f>
        <v>0</v>
      </c>
      <c r="J37" s="155">
        <f>H37+$J$30</f>
        <v>-0.4107964417027401</v>
      </c>
      <c r="L37" s="21"/>
      <c r="M37" s="287">
        <f t="shared" si="27"/>
        <v>-5.84</v>
      </c>
      <c r="N37" s="9">
        <f t="shared" si="17"/>
        <v>4.477070455353933E-5</v>
      </c>
      <c r="O37" s="10">
        <f t="shared" si="7"/>
        <v>2.792063603179782E-5</v>
      </c>
      <c r="P37" s="5">
        <f t="shared" si="29"/>
        <v>-6.04</v>
      </c>
      <c r="Q37" s="9">
        <f t="shared" si="18"/>
        <v>2.8248404855608478E-5</v>
      </c>
      <c r="R37" s="10">
        <f t="shared" si="9"/>
        <v>1.8764823608716904E-5</v>
      </c>
      <c r="S37" s="5">
        <f t="shared" si="31"/>
        <v>-6.1899999999999995</v>
      </c>
      <c r="T37" s="9">
        <f t="shared" si="19"/>
        <v>1.9998339133104459E-5</v>
      </c>
      <c r="U37" s="10">
        <f t="shared" si="10"/>
        <v>1.36057609062326E-5</v>
      </c>
      <c r="V37" s="5">
        <f t="shared" si="33"/>
        <v>-6.3900000000000006</v>
      </c>
      <c r="W37" s="9">
        <f t="shared" si="20"/>
        <v>1.2618098953437878E-5</v>
      </c>
      <c r="X37" s="10">
        <f t="shared" si="11"/>
        <v>8.755131504660641E-6</v>
      </c>
      <c r="Y37" s="5">
        <f t="shared" si="35"/>
        <v>-6.59</v>
      </c>
      <c r="Z37" s="9">
        <f t="shared" si="21"/>
        <v>7.9614822080494834E-6</v>
      </c>
      <c r="AA37" s="10">
        <f t="shared" si="12"/>
        <v>5.6093601591156175E-6</v>
      </c>
      <c r="AB37" s="5">
        <f t="shared" si="37"/>
        <v>-7.59</v>
      </c>
      <c r="AC37" s="9">
        <f t="shared" si="22"/>
        <v>7.9614822080494758E-7</v>
      </c>
      <c r="AD37" s="10">
        <f t="shared" si="13"/>
        <v>5.8318186488346505E-7</v>
      </c>
      <c r="AE37" s="5">
        <f t="shared" si="39"/>
        <v>-7.79</v>
      </c>
      <c r="AF37" s="9">
        <f t="shared" si="23"/>
        <v>5.0233556721172118E-7</v>
      </c>
      <c r="AG37" s="10">
        <f t="shared" si="14"/>
        <v>3.7027078036285146E-7</v>
      </c>
      <c r="AH37" s="5">
        <f t="shared" si="41"/>
        <v>-9.09</v>
      </c>
      <c r="AI37" s="9">
        <f t="shared" si="24"/>
        <v>2.5176417328342879E-8</v>
      </c>
      <c r="AJ37" s="10">
        <f t="shared" si="15"/>
        <v>1.874789221881623E-8</v>
      </c>
    </row>
    <row r="38" spans="1:36">
      <c r="A38" s="20"/>
      <c r="B38" s="50" t="s">
        <v>11</v>
      </c>
      <c r="C38" s="55">
        <v>16</v>
      </c>
      <c r="D38" s="53">
        <v>32.064999999999998</v>
      </c>
      <c r="E38" s="277">
        <f>'Fe Sheet'!E38</f>
        <v>-4.88</v>
      </c>
      <c r="F38" s="57">
        <f t="shared" si="16"/>
        <v>4.2269902321811131E-4</v>
      </c>
      <c r="G38" s="57">
        <f t="shared" si="6"/>
        <v>2.9781781637200442E-4</v>
      </c>
      <c r="H38" s="103">
        <f>'Fe Sheet'!I38</f>
        <v>-9.9999999999999978E-2</v>
      </c>
      <c r="I38" s="102">
        <f>'Fe Sheet'!H38</f>
        <v>0.4</v>
      </c>
      <c r="J38" s="155">
        <f t="shared" si="43"/>
        <v>-1.0796441702740078E-2</v>
      </c>
      <c r="L38" s="21"/>
      <c r="M38" s="287">
        <f t="shared" si="27"/>
        <v>-4.33</v>
      </c>
      <c r="N38" s="9">
        <f t="shared" si="17"/>
        <v>1.499792730537399E-3</v>
      </c>
      <c r="O38" s="10">
        <f t="shared" si="7"/>
        <v>9.3532517234331798E-4</v>
      </c>
      <c r="P38" s="5">
        <f t="shared" si="29"/>
        <v>-4.53</v>
      </c>
      <c r="Q38" s="9">
        <f t="shared" si="18"/>
        <v>9.4630523853057554E-4</v>
      </c>
      <c r="R38" s="10">
        <f t="shared" si="9"/>
        <v>6.286107471128754E-4</v>
      </c>
      <c r="S38" s="5">
        <f t="shared" si="31"/>
        <v>-4.6399999999999997</v>
      </c>
      <c r="T38" s="9">
        <f t="shared" si="19"/>
        <v>7.3456671285998629E-4</v>
      </c>
      <c r="U38" s="10">
        <f t="shared" si="10"/>
        <v>4.9975845485618136E-4</v>
      </c>
      <c r="V38" s="5">
        <f t="shared" si="33"/>
        <v>-4.7600000000000007</v>
      </c>
      <c r="W38" s="9">
        <f t="shared" si="20"/>
        <v>5.5722583573848585E-4</v>
      </c>
      <c r="X38" s="10">
        <f t="shared" si="11"/>
        <v>3.8663395236377291E-4</v>
      </c>
      <c r="Y38" s="5">
        <f t="shared" si="35"/>
        <v>-4.88</v>
      </c>
      <c r="Z38" s="9">
        <f t="shared" si="21"/>
        <v>4.2269902321811131E-4</v>
      </c>
      <c r="AA38" s="10">
        <f t="shared" si="12"/>
        <v>2.9781779299079279E-4</v>
      </c>
      <c r="AB38" s="5">
        <f t="shared" si="37"/>
        <v>-5.4799999999999995</v>
      </c>
      <c r="AC38" s="9">
        <f t="shared" si="22"/>
        <v>1.0617719410339273E-4</v>
      </c>
      <c r="AD38" s="10">
        <f t="shared" si="13"/>
        <v>7.7775233866258261E-5</v>
      </c>
      <c r="AE38" s="5">
        <f t="shared" si="39"/>
        <v>-5.68</v>
      </c>
      <c r="AF38" s="9">
        <f t="shared" si="23"/>
        <v>6.6993280435834711E-5</v>
      </c>
      <c r="AG38" s="10">
        <f t="shared" si="14"/>
        <v>4.938064482220694E-5</v>
      </c>
      <c r="AH38" s="5">
        <f t="shared" si="41"/>
        <v>-6.9799999999999995</v>
      </c>
      <c r="AI38" s="9">
        <f t="shared" si="24"/>
        <v>3.3576176893252064E-6</v>
      </c>
      <c r="AJ38" s="10">
        <f t="shared" si="15"/>
        <v>2.5002864279896746E-6</v>
      </c>
    </row>
    <row r="39" spans="1:36" s="245" customFormat="1">
      <c r="A39" s="238"/>
      <c r="B39" s="239" t="s">
        <v>31</v>
      </c>
      <c r="C39" s="240">
        <v>17</v>
      </c>
      <c r="D39" s="241">
        <v>35.453000000000003</v>
      </c>
      <c r="E39" s="277">
        <f>'Fe Sheet'!E39</f>
        <v>-6.75</v>
      </c>
      <c r="F39" s="243">
        <f t="shared" si="16"/>
        <v>6.3045339924109855E-6</v>
      </c>
      <c r="G39" s="243">
        <f t="shared" si="6"/>
        <v>4.4419372738746028E-6</v>
      </c>
      <c r="H39" s="103">
        <f>'Fe Sheet'!I39</f>
        <v>0</v>
      </c>
      <c r="I39" s="102">
        <f>'Fe Sheet'!H39</f>
        <v>0.5</v>
      </c>
      <c r="J39" s="244">
        <f t="shared" si="43"/>
        <v>8.9203558297259899E-2</v>
      </c>
      <c r="L39" s="246"/>
      <c r="M39" s="289">
        <f t="shared" si="27"/>
        <v>-6.25</v>
      </c>
      <c r="N39" s="248">
        <f t="shared" si="17"/>
        <v>1.9936687001973434E-5</v>
      </c>
      <c r="O39" s="249">
        <f t="shared" si="7"/>
        <v>1.2433241491571958E-5</v>
      </c>
      <c r="P39" s="247">
        <f t="shared" si="29"/>
        <v>-6.45</v>
      </c>
      <c r="Q39" s="248">
        <f t="shared" si="18"/>
        <v>1.2579199088497923E-5</v>
      </c>
      <c r="R39" s="249">
        <f t="shared" si="9"/>
        <v>8.356098450200843E-6</v>
      </c>
      <c r="S39" s="247">
        <f t="shared" si="31"/>
        <v>-6.55</v>
      </c>
      <c r="T39" s="248">
        <f t="shared" si="19"/>
        <v>9.9920130062118558E-6</v>
      </c>
      <c r="U39" s="249">
        <f t="shared" si="10"/>
        <v>6.798011526339227E-6</v>
      </c>
      <c r="V39" s="247">
        <f t="shared" si="33"/>
        <v>-6.65</v>
      </c>
      <c r="W39" s="248">
        <f t="shared" si="20"/>
        <v>7.9369380525663166E-6</v>
      </c>
      <c r="X39" s="249">
        <f t="shared" si="11"/>
        <v>5.5070844388671202E-6</v>
      </c>
      <c r="Y39" s="247">
        <f t="shared" si="35"/>
        <v>-6.75</v>
      </c>
      <c r="Z39" s="248">
        <f t="shared" si="21"/>
        <v>6.3045339924109855E-6</v>
      </c>
      <c r="AA39" s="249">
        <f t="shared" si="12"/>
        <v>4.4419369251450449E-6</v>
      </c>
      <c r="AB39" s="247">
        <f t="shared" si="37"/>
        <v>-7.25</v>
      </c>
      <c r="AC39" s="248">
        <f t="shared" si="22"/>
        <v>1.9936687001973409E-6</v>
      </c>
      <c r="AD39" s="249">
        <f t="shared" si="13"/>
        <v>1.460370569396434E-6</v>
      </c>
      <c r="AE39" s="247">
        <f t="shared" si="39"/>
        <v>-7.45</v>
      </c>
      <c r="AF39" s="248">
        <f t="shared" si="23"/>
        <v>1.257919908849791E-6</v>
      </c>
      <c r="AG39" s="249">
        <f t="shared" si="14"/>
        <v>9.2721084606670686E-7</v>
      </c>
      <c r="AH39" s="247">
        <f t="shared" si="41"/>
        <v>-8.75</v>
      </c>
      <c r="AI39" s="248">
        <f t="shared" si="24"/>
        <v>6.3045339924109827E-8</v>
      </c>
      <c r="AJ39" s="249">
        <f t="shared" si="15"/>
        <v>4.6947396143819813E-8</v>
      </c>
    </row>
    <row r="40" spans="1:36">
      <c r="A40" s="20"/>
      <c r="B40" s="50" t="s">
        <v>32</v>
      </c>
      <c r="C40" s="55">
        <v>18</v>
      </c>
      <c r="D40" s="53">
        <v>39.948</v>
      </c>
      <c r="E40" s="277">
        <f>'Fe Sheet'!E40</f>
        <v>-5.6</v>
      </c>
      <c r="F40" s="57">
        <f t="shared" si="16"/>
        <v>1.0034483916594473E-4</v>
      </c>
      <c r="G40" s="57">
        <f t="shared" si="6"/>
        <v>7.0699195510516598E-5</v>
      </c>
      <c r="H40" s="103">
        <f>'Fe Sheet'!I40</f>
        <v>0</v>
      </c>
      <c r="I40" s="102">
        <f>'Fe Sheet'!H40</f>
        <v>0.5</v>
      </c>
      <c r="J40" s="155">
        <f t="shared" si="43"/>
        <v>8.9203558297259899E-2</v>
      </c>
      <c r="L40" s="21"/>
      <c r="M40" s="287">
        <f t="shared" si="27"/>
        <v>-5.0999999999999996</v>
      </c>
      <c r="N40" s="9">
        <f t="shared" si="17"/>
        <v>3.1731824320765565E-4</v>
      </c>
      <c r="O40" s="10">
        <f t="shared" si="7"/>
        <v>1.9789117154177222E-4</v>
      </c>
      <c r="P40" s="5">
        <f t="shared" si="29"/>
        <v>-5.3</v>
      </c>
      <c r="Q40" s="9">
        <f t="shared" si="18"/>
        <v>2.0021427608942258E-4</v>
      </c>
      <c r="R40" s="10">
        <f t="shared" si="9"/>
        <v>1.3299814959353515E-4</v>
      </c>
      <c r="S40" s="5">
        <f t="shared" si="31"/>
        <v>-5.3999999999999995</v>
      </c>
      <c r="T40" s="9">
        <f t="shared" si="19"/>
        <v>1.5903585249271108E-4</v>
      </c>
      <c r="U40" s="10">
        <f t="shared" si="10"/>
        <v>1.0819917444808342E-4</v>
      </c>
      <c r="V40" s="5">
        <f t="shared" si="33"/>
        <v>-5.5</v>
      </c>
      <c r="W40" s="9">
        <f t="shared" si="20"/>
        <v>1.2632666796840632E-4</v>
      </c>
      <c r="X40" s="10">
        <f t="shared" si="11"/>
        <v>8.7652394761705387E-5</v>
      </c>
      <c r="Y40" s="5">
        <f t="shared" si="35"/>
        <v>-5.6</v>
      </c>
      <c r="Z40" s="9">
        <f t="shared" si="21"/>
        <v>1.0034483916594473E-4</v>
      </c>
      <c r="AA40" s="10">
        <f t="shared" si="12"/>
        <v>7.0699189960033172E-5</v>
      </c>
      <c r="AB40" s="5">
        <f t="shared" si="37"/>
        <v>-6.1</v>
      </c>
      <c r="AC40" s="9">
        <f t="shared" si="22"/>
        <v>3.1731824320765582E-5</v>
      </c>
      <c r="AD40" s="10">
        <f t="shared" si="13"/>
        <v>2.3243692568738786E-5</v>
      </c>
      <c r="AE40" s="5">
        <f t="shared" si="39"/>
        <v>-6.3</v>
      </c>
      <c r="AF40" s="9">
        <f t="shared" si="23"/>
        <v>2.002142760894227E-5</v>
      </c>
      <c r="AG40" s="10">
        <f t="shared" si="14"/>
        <v>1.4757763751211473E-5</v>
      </c>
      <c r="AH40" s="5">
        <f t="shared" si="41"/>
        <v>-7.6</v>
      </c>
      <c r="AI40" s="9">
        <f t="shared" si="24"/>
        <v>1.0034483916594451E-6</v>
      </c>
      <c r="AJ40" s="10">
        <f t="shared" si="15"/>
        <v>7.4722872792536522E-7</v>
      </c>
    </row>
    <row r="41" spans="1:36">
      <c r="A41" s="20"/>
      <c r="B41" s="50" t="s">
        <v>12</v>
      </c>
      <c r="C41" s="55">
        <v>19</v>
      </c>
      <c r="D41" s="53">
        <v>39.098300000000002</v>
      </c>
      <c r="E41" s="277">
        <f>'Fe Sheet'!E41</f>
        <v>-6.96</v>
      </c>
      <c r="F41" s="57">
        <f t="shared" si="16"/>
        <v>4.2870433456265043E-6</v>
      </c>
      <c r="G41" s="57">
        <f t="shared" si="6"/>
        <v>3.0204893263446574E-6</v>
      </c>
      <c r="H41" s="103">
        <f>'Fe Sheet'!I41</f>
        <v>-9.9999999999999978E-2</v>
      </c>
      <c r="I41" s="102">
        <f>'Fe Sheet'!H41</f>
        <v>0.4</v>
      </c>
      <c r="J41" s="155">
        <f t="shared" si="43"/>
        <v>-1.0796441702740078E-2</v>
      </c>
      <c r="L41" s="21"/>
      <c r="M41" s="287">
        <f t="shared" si="27"/>
        <v>-6.41</v>
      </c>
      <c r="N41" s="9">
        <f t="shared" si="17"/>
        <v>1.5211003792529869E-5</v>
      </c>
      <c r="O41" s="10">
        <f t="shared" si="7"/>
        <v>9.4861339530996555E-6</v>
      </c>
      <c r="P41" s="5">
        <f t="shared" si="29"/>
        <v>-6.61</v>
      </c>
      <c r="Q41" s="9">
        <f t="shared" si="18"/>
        <v>9.5974945598127784E-6</v>
      </c>
      <c r="R41" s="10">
        <f t="shared" si="9"/>
        <v>6.3754145914101233E-6</v>
      </c>
      <c r="S41" s="5">
        <f t="shared" si="31"/>
        <v>-6.72</v>
      </c>
      <c r="T41" s="9">
        <f t="shared" si="19"/>
        <v>7.4500274789142321E-6</v>
      </c>
      <c r="U41" s="10">
        <f t="shared" si="10"/>
        <v>5.0685855434453096E-6</v>
      </c>
      <c r="V41" s="5">
        <f t="shared" si="33"/>
        <v>-6.8400000000000007</v>
      </c>
      <c r="W41" s="9">
        <f t="shared" si="20"/>
        <v>5.6514237788555273E-6</v>
      </c>
      <c r="X41" s="10">
        <f t="shared" si="11"/>
        <v>3.9212688500089374E-6</v>
      </c>
      <c r="Y41" s="5">
        <f t="shared" si="35"/>
        <v>-6.96</v>
      </c>
      <c r="Z41" s="9">
        <f t="shared" si="21"/>
        <v>4.2870433456265043E-6</v>
      </c>
      <c r="AA41" s="10">
        <f t="shared" si="12"/>
        <v>3.0204890892107577E-6</v>
      </c>
      <c r="AB41" s="5">
        <f t="shared" si="37"/>
        <v>-7.56</v>
      </c>
      <c r="AC41" s="9">
        <f t="shared" si="22"/>
        <v>1.0768566011172639E-6</v>
      </c>
      <c r="AD41" s="10">
        <f t="shared" si="13"/>
        <v>7.8880191456898753E-7</v>
      </c>
      <c r="AE41" s="5">
        <f t="shared" si="39"/>
        <v>-7.76</v>
      </c>
      <c r="AF41" s="9">
        <f t="shared" si="23"/>
        <v>6.7945058142691678E-7</v>
      </c>
      <c r="AG41" s="10">
        <f t="shared" si="14"/>
        <v>5.0082198718153479E-7</v>
      </c>
      <c r="AH41" s="5">
        <f t="shared" si="41"/>
        <v>-9.0599999999999987</v>
      </c>
      <c r="AI41" s="9">
        <f t="shared" si="24"/>
        <v>3.4053195729179873E-8</v>
      </c>
      <c r="AJ41" s="10">
        <f t="shared" si="15"/>
        <v>2.535808152966214E-8</v>
      </c>
    </row>
    <row r="42" spans="1:36">
      <c r="A42" s="20"/>
      <c r="B42" s="50" t="s">
        <v>13</v>
      </c>
      <c r="C42" s="55">
        <v>20</v>
      </c>
      <c r="D42" s="53">
        <v>40.078000000000003</v>
      </c>
      <c r="E42" s="277">
        <f>'Fe Sheet'!E42</f>
        <v>-5.68</v>
      </c>
      <c r="F42" s="57">
        <f t="shared" si="16"/>
        <v>8.3734810332368123E-5</v>
      </c>
      <c r="G42" s="57">
        <f t="shared" si="6"/>
        <v>5.8996394592192013E-5</v>
      </c>
      <c r="H42" s="103">
        <f>'Fe Sheet'!I42</f>
        <v>-0.15000000000000002</v>
      </c>
      <c r="I42" s="102">
        <f>'Fe Sheet'!H42</f>
        <v>0.35</v>
      </c>
      <c r="J42" s="155">
        <f t="shared" si="43"/>
        <v>-6.0796441702740123E-2</v>
      </c>
      <c r="L42" s="21"/>
      <c r="M42" s="287">
        <f t="shared" si="27"/>
        <v>-5.1049999999999995</v>
      </c>
      <c r="N42" s="9">
        <f t="shared" si="17"/>
        <v>3.1470673763902483E-4</v>
      </c>
      <c r="O42" s="10">
        <f t="shared" si="7"/>
        <v>1.9626254190094184E-4</v>
      </c>
      <c r="P42" s="5">
        <f t="shared" si="29"/>
        <v>-5.3049999999999997</v>
      </c>
      <c r="Q42" s="9">
        <f t="shared" si="18"/>
        <v>1.9856652747074369E-4</v>
      </c>
      <c r="R42" s="10">
        <f t="shared" si="9"/>
        <v>1.3190358470255946E-4</v>
      </c>
      <c r="S42" s="5">
        <f t="shared" si="31"/>
        <v>-5.42</v>
      </c>
      <c r="T42" s="9">
        <f t="shared" si="19"/>
        <v>1.5237230625735431E-4</v>
      </c>
      <c r="U42" s="10">
        <f t="shared" si="10"/>
        <v>1.036656671271774E-4</v>
      </c>
      <c r="V42" s="5">
        <f t="shared" si="33"/>
        <v>-5.55</v>
      </c>
      <c r="W42" s="9">
        <f t="shared" si="20"/>
        <v>1.1295515111921675E-4</v>
      </c>
      <c r="X42" s="10">
        <f t="shared" si="11"/>
        <v>7.8374500455800938E-5</v>
      </c>
      <c r="Y42" s="5">
        <f t="shared" si="35"/>
        <v>-5.68</v>
      </c>
      <c r="Z42" s="9">
        <f t="shared" si="21"/>
        <v>8.3734810332368123E-5</v>
      </c>
      <c r="AA42" s="10">
        <f t="shared" si="12"/>
        <v>5.8996389960477215E-5</v>
      </c>
      <c r="AB42" s="5">
        <f t="shared" si="37"/>
        <v>-6.33</v>
      </c>
      <c r="AC42" s="9">
        <f t="shared" si="22"/>
        <v>1.8745888992508298E-5</v>
      </c>
      <c r="AD42" s="10">
        <f t="shared" si="13"/>
        <v>1.3731441226479562E-5</v>
      </c>
      <c r="AE42" s="5">
        <f t="shared" si="39"/>
        <v>-6.53</v>
      </c>
      <c r="AF42" s="9">
        <f t="shared" si="23"/>
        <v>1.1827856338633524E-5</v>
      </c>
      <c r="AG42" s="10">
        <f t="shared" si="14"/>
        <v>8.7182948657897561E-6</v>
      </c>
      <c r="AH42" s="5">
        <f t="shared" si="41"/>
        <v>-7.83</v>
      </c>
      <c r="AI42" s="9">
        <f t="shared" si="24"/>
        <v>5.9279705981005232E-7</v>
      </c>
      <c r="AJ42" s="10">
        <f t="shared" si="15"/>
        <v>4.4143275987241218E-7</v>
      </c>
    </row>
    <row r="43" spans="1:36">
      <c r="A43" s="20"/>
      <c r="B43" s="50" t="s">
        <v>14</v>
      </c>
      <c r="C43" s="55">
        <v>21</v>
      </c>
      <c r="D43" s="53">
        <v>44.955910000000003</v>
      </c>
      <c r="E43" s="277">
        <f>'Fe Sheet'!E43</f>
        <v>-8.84</v>
      </c>
      <c r="F43" s="57">
        <f t="shared" si="16"/>
        <v>6.49810602440745E-8</v>
      </c>
      <c r="G43" s="57">
        <f t="shared" si="6"/>
        <v>4.5783208392800333E-8</v>
      </c>
      <c r="H43" s="103">
        <f>'Fe Sheet'!I43</f>
        <v>-0.25</v>
      </c>
      <c r="I43" s="102">
        <f>'Fe Sheet'!H43</f>
        <v>0.25</v>
      </c>
      <c r="J43" s="155">
        <f t="shared" si="43"/>
        <v>-0.1607964417027401</v>
      </c>
      <c r="L43" s="21"/>
      <c r="M43" s="287">
        <f t="shared" si="27"/>
        <v>-8.2149999999999999</v>
      </c>
      <c r="N43" s="9">
        <f t="shared" si="17"/>
        <v>2.7402285894008302E-7</v>
      </c>
      <c r="O43" s="10">
        <f t="shared" si="7"/>
        <v>1.7089059877780941E-7</v>
      </c>
      <c r="P43" s="5">
        <f t="shared" si="29"/>
        <v>-8.4149999999999991</v>
      </c>
      <c r="Q43" s="9">
        <f t="shared" si="18"/>
        <v>1.728967354037051E-7</v>
      </c>
      <c r="R43" s="10">
        <f t="shared" si="9"/>
        <v>1.1485167955348749E-7</v>
      </c>
      <c r="S43" s="5">
        <f t="shared" si="31"/>
        <v>-8.5400000000000009</v>
      </c>
      <c r="T43" s="9">
        <f t="shared" si="19"/>
        <v>1.2965426069172395E-7</v>
      </c>
      <c r="U43" s="10">
        <f t="shared" si="10"/>
        <v>8.8209568789931043E-8</v>
      </c>
      <c r="V43" s="5">
        <f t="shared" si="33"/>
        <v>-8.69</v>
      </c>
      <c r="W43" s="9">
        <f t="shared" si="20"/>
        <v>9.1788187284148139E-8</v>
      </c>
      <c r="X43" s="10">
        <f t="shared" si="11"/>
        <v>6.3687696000211351E-8</v>
      </c>
      <c r="Y43" s="5">
        <f t="shared" si="35"/>
        <v>-8.84</v>
      </c>
      <c r="Z43" s="9">
        <f t="shared" si="21"/>
        <v>6.49810602440745E-8</v>
      </c>
      <c r="AA43" s="10">
        <f t="shared" si="12"/>
        <v>4.5783204798432148E-8</v>
      </c>
      <c r="AB43" s="5">
        <f t="shared" si="37"/>
        <v>-9.59</v>
      </c>
      <c r="AC43" s="9">
        <f t="shared" si="22"/>
        <v>1.155544814745365E-8</v>
      </c>
      <c r="AD43" s="10">
        <f t="shared" si="13"/>
        <v>8.4644135653318332E-9</v>
      </c>
      <c r="AE43" s="5">
        <f t="shared" si="39"/>
        <v>-9.7899999999999991</v>
      </c>
      <c r="AF43" s="9">
        <f t="shared" si="23"/>
        <v>7.2909948773959379E-9</v>
      </c>
      <c r="AG43" s="10">
        <f t="shared" si="14"/>
        <v>5.3741812029350458E-9</v>
      </c>
      <c r="AH43" s="5">
        <f t="shared" si="41"/>
        <v>-11.09</v>
      </c>
      <c r="AI43" s="9">
        <f t="shared" si="24"/>
        <v>3.6541535529926764E-10</v>
      </c>
      <c r="AJ43" s="10">
        <f t="shared" si="15"/>
        <v>2.7211050750015622E-10</v>
      </c>
    </row>
    <row r="44" spans="1:36">
      <c r="A44" s="20"/>
      <c r="B44" s="50" t="s">
        <v>15</v>
      </c>
      <c r="C44" s="55">
        <v>22</v>
      </c>
      <c r="D44" s="53">
        <v>47.866999999999997</v>
      </c>
      <c r="E44" s="277">
        <f>'Fe Sheet'!E44</f>
        <v>-7.07</v>
      </c>
      <c r="F44" s="57">
        <f t="shared" si="16"/>
        <v>4.0741424474633016E-6</v>
      </c>
      <c r="G44" s="57">
        <f t="shared" si="6"/>
        <v>2.8704873696051302E-6</v>
      </c>
      <c r="H44" s="103">
        <f>'Fe Sheet'!I44</f>
        <v>-0.15000000000000002</v>
      </c>
      <c r="I44" s="102">
        <f>'Fe Sheet'!H44</f>
        <v>0.35</v>
      </c>
      <c r="J44" s="155">
        <f t="shared" si="43"/>
        <v>-6.0796441702740123E-2</v>
      </c>
      <c r="L44" s="21"/>
      <c r="M44" s="287">
        <f t="shared" si="27"/>
        <v>-6.4950000000000001</v>
      </c>
      <c r="N44" s="9">
        <f t="shared" si="17"/>
        <v>1.5312151221559785E-5</v>
      </c>
      <c r="O44" s="10">
        <f t="shared" si="7"/>
        <v>9.5492131603549079E-6</v>
      </c>
      <c r="P44" s="5">
        <f t="shared" si="29"/>
        <v>-6.6950000000000003</v>
      </c>
      <c r="Q44" s="9">
        <f t="shared" si="18"/>
        <v>9.6613142730345095E-6</v>
      </c>
      <c r="R44" s="10">
        <f t="shared" si="9"/>
        <v>6.4178086900321878E-6</v>
      </c>
      <c r="S44" s="5">
        <f t="shared" si="31"/>
        <v>-6.8100000000000005</v>
      </c>
      <c r="T44" s="9">
        <f t="shared" si="19"/>
        <v>7.4137205097483557E-6</v>
      </c>
      <c r="U44" s="10">
        <f t="shared" si="10"/>
        <v>5.0438842950859827E-6</v>
      </c>
      <c r="V44" s="5">
        <f t="shared" si="33"/>
        <v>-6.94</v>
      </c>
      <c r="W44" s="9">
        <f t="shared" si="20"/>
        <v>5.4958669400191126E-6</v>
      </c>
      <c r="X44" s="10">
        <f t="shared" si="11"/>
        <v>3.8133349539848414E-6</v>
      </c>
      <c r="Y44" s="5">
        <f t="shared" si="35"/>
        <v>-7.07</v>
      </c>
      <c r="Z44" s="9">
        <f t="shared" si="21"/>
        <v>4.0741424474633016E-6</v>
      </c>
      <c r="AA44" s="10">
        <f t="shared" si="12"/>
        <v>2.8704871442476502E-6</v>
      </c>
      <c r="AB44" s="5">
        <f t="shared" si="37"/>
        <v>-7.7200000000000006</v>
      </c>
      <c r="AC44" s="9">
        <f t="shared" si="22"/>
        <v>9.1208688186746357E-7</v>
      </c>
      <c r="AD44" s="10">
        <f t="shared" si="13"/>
        <v>6.6810741367407782E-7</v>
      </c>
      <c r="AE44" s="5">
        <f t="shared" si="39"/>
        <v>-7.9200000000000008</v>
      </c>
      <c r="AF44" s="9">
        <f t="shared" si="23"/>
        <v>5.7548791691831557E-7</v>
      </c>
      <c r="AG44" s="10">
        <f t="shared" si="14"/>
        <v>4.2419126574990508E-7</v>
      </c>
      <c r="AH44" s="5">
        <f t="shared" si="41"/>
        <v>-9.2200000000000006</v>
      </c>
      <c r="AI44" s="9">
        <f t="shared" si="24"/>
        <v>2.8842719706621158E-8</v>
      </c>
      <c r="AJ44" s="10">
        <f t="shared" si="15"/>
        <v>2.147804404832894E-8</v>
      </c>
    </row>
    <row r="45" spans="1:36">
      <c r="A45" s="20"/>
      <c r="B45" s="50" t="s">
        <v>16</v>
      </c>
      <c r="C45" s="55">
        <v>23</v>
      </c>
      <c r="D45" s="53">
        <v>50.941499999999998</v>
      </c>
      <c r="E45" s="277">
        <f>'Fe Sheet'!E45</f>
        <v>-8.11</v>
      </c>
      <c r="F45" s="57">
        <f t="shared" si="16"/>
        <v>3.9543192491740474E-7</v>
      </c>
      <c r="G45" s="57">
        <f t="shared" si="6"/>
        <v>2.7860644556519989E-7</v>
      </c>
      <c r="H45" s="103">
        <f>'Fe Sheet'!I45</f>
        <v>-0.5</v>
      </c>
      <c r="I45" s="102">
        <f>'Fe Sheet'!H45</f>
        <v>0</v>
      </c>
      <c r="J45" s="155">
        <f t="shared" si="43"/>
        <v>-0.4107964417027401</v>
      </c>
      <c r="L45" s="21"/>
      <c r="M45" s="287">
        <f t="shared" si="27"/>
        <v>-7.3599999999999994</v>
      </c>
      <c r="N45" s="9">
        <f t="shared" si="17"/>
        <v>2.2236771268062396E-6</v>
      </c>
      <c r="O45" s="10">
        <f t="shared" si="7"/>
        <v>1.3867657507052283E-6</v>
      </c>
      <c r="P45" s="5">
        <f t="shared" si="29"/>
        <v>-7.56</v>
      </c>
      <c r="Q45" s="9">
        <f t="shared" si="18"/>
        <v>1.4030454149110087E-6</v>
      </c>
      <c r="R45" s="10">
        <f t="shared" si="9"/>
        <v>9.3201367866252873E-7</v>
      </c>
      <c r="S45" s="5">
        <f t="shared" si="31"/>
        <v>-7.7099999999999991</v>
      </c>
      <c r="T45" s="9">
        <f t="shared" si="19"/>
        <v>9.9328008678574361E-7</v>
      </c>
      <c r="U45" s="10">
        <f t="shared" si="10"/>
        <v>6.7577268711068632E-7</v>
      </c>
      <c r="V45" s="5">
        <f t="shared" si="33"/>
        <v>-7.91</v>
      </c>
      <c r="W45" s="9">
        <f t="shared" si="20"/>
        <v>6.2671736588338767E-7</v>
      </c>
      <c r="X45" s="10">
        <f t="shared" si="11"/>
        <v>4.3485100052005958E-7</v>
      </c>
      <c r="Y45" s="5">
        <f t="shared" si="35"/>
        <v>-8.11</v>
      </c>
      <c r="Z45" s="9">
        <f t="shared" si="21"/>
        <v>3.9543192491740474E-7</v>
      </c>
      <c r="AA45" s="10">
        <f t="shared" si="12"/>
        <v>2.7860642369224294E-7</v>
      </c>
      <c r="AB45" s="5">
        <f t="shared" si="37"/>
        <v>-9.11</v>
      </c>
      <c r="AC45" s="9">
        <f t="shared" si="22"/>
        <v>3.9543192491740425E-8</v>
      </c>
      <c r="AD45" s="10">
        <f t="shared" si="13"/>
        <v>2.8965552064492796E-8</v>
      </c>
      <c r="AE45" s="5">
        <f t="shared" si="39"/>
        <v>-9.3099999999999987</v>
      </c>
      <c r="AF45" s="9">
        <f t="shared" si="23"/>
        <v>2.4950067726857703E-8</v>
      </c>
      <c r="AG45" s="10">
        <f t="shared" si="14"/>
        <v>1.8390656864310595E-8</v>
      </c>
      <c r="AH45" s="5">
        <f t="shared" si="41"/>
        <v>-10.61</v>
      </c>
      <c r="AI45" s="9">
        <f t="shared" si="24"/>
        <v>1.2504655422836876E-9</v>
      </c>
      <c r="AJ45" s="10">
        <f t="shared" si="15"/>
        <v>9.3117272820569467E-10</v>
      </c>
    </row>
    <row r="46" spans="1:36">
      <c r="A46" s="20"/>
      <c r="B46" s="50" t="s">
        <v>17</v>
      </c>
      <c r="C46" s="55">
        <v>24</v>
      </c>
      <c r="D46" s="53">
        <v>51.996099999999998</v>
      </c>
      <c r="E46" s="277">
        <f>'Fe Sheet'!E46</f>
        <v>-6.38</v>
      </c>
      <c r="F46" s="57">
        <f t="shared" si="16"/>
        <v>2.1675582149861881E-5</v>
      </c>
      <c r="G46" s="57">
        <f t="shared" si="6"/>
        <v>1.5271799057678233E-5</v>
      </c>
      <c r="H46" s="103">
        <f>'Fe Sheet'!I46</f>
        <v>-0.5</v>
      </c>
      <c r="I46" s="102">
        <f>'Fe Sheet'!H46</f>
        <v>0</v>
      </c>
      <c r="J46" s="155">
        <f t="shared" si="43"/>
        <v>-0.4107964417027401</v>
      </c>
      <c r="L46" s="21"/>
      <c r="M46" s="287">
        <f t="shared" si="27"/>
        <v>-5.63</v>
      </c>
      <c r="N46" s="9">
        <f t="shared" si="17"/>
        <v>1.2189075590425605E-4</v>
      </c>
      <c r="O46" s="10">
        <f t="shared" si="7"/>
        <v>7.6015498643172471E-5</v>
      </c>
      <c r="P46" s="5">
        <f t="shared" si="29"/>
        <v>-5.83</v>
      </c>
      <c r="Q46" s="9">
        <f t="shared" si="18"/>
        <v>7.6907867662032826E-5</v>
      </c>
      <c r="R46" s="10">
        <f t="shared" si="9"/>
        <v>5.1088285451065437E-5</v>
      </c>
      <c r="S46" s="5">
        <f t="shared" si="31"/>
        <v>-5.9799999999999995</v>
      </c>
      <c r="T46" s="9">
        <f t="shared" si="19"/>
        <v>5.4446600697309392E-5</v>
      </c>
      <c r="U46" s="10">
        <f t="shared" si="10"/>
        <v>3.7042447690990428E-5</v>
      </c>
      <c r="V46" s="5">
        <f t="shared" si="33"/>
        <v>-6.1800000000000006</v>
      </c>
      <c r="W46" s="9">
        <f t="shared" si="20"/>
        <v>3.4353482591947654E-5</v>
      </c>
      <c r="X46" s="10">
        <f t="shared" si="11"/>
        <v>2.383633690347827E-5</v>
      </c>
      <c r="Y46" s="5">
        <f t="shared" si="35"/>
        <v>-6.38</v>
      </c>
      <c r="Z46" s="9">
        <f t="shared" si="21"/>
        <v>2.1675582149861881E-5</v>
      </c>
      <c r="AA46" s="10">
        <f t="shared" si="12"/>
        <v>1.5271797858713142E-5</v>
      </c>
      <c r="AB46" s="5">
        <f t="shared" si="37"/>
        <v>-7.38</v>
      </c>
      <c r="AC46" s="9">
        <f t="shared" si="22"/>
        <v>2.1675582149861895E-6</v>
      </c>
      <c r="AD46" s="10">
        <f t="shared" si="13"/>
        <v>1.5877453582463187E-6</v>
      </c>
      <c r="AE46" s="5">
        <f t="shared" si="39"/>
        <v>-7.58</v>
      </c>
      <c r="AF46" s="9">
        <f t="shared" si="23"/>
        <v>1.3676367753339115E-6</v>
      </c>
      <c r="AG46" s="10">
        <f t="shared" si="14"/>
        <v>1.008082980997419E-6</v>
      </c>
      <c r="AH46" s="5">
        <f t="shared" si="41"/>
        <v>-8.879999999999999</v>
      </c>
      <c r="AI46" s="9">
        <f t="shared" si="24"/>
        <v>6.8544209203652765E-8</v>
      </c>
      <c r="AJ46" s="10">
        <f t="shared" si="15"/>
        <v>5.1042188791786151E-8</v>
      </c>
    </row>
    <row r="47" spans="1:36">
      <c r="A47" s="20"/>
      <c r="B47" s="50" t="s">
        <v>18</v>
      </c>
      <c r="C47" s="55">
        <v>25</v>
      </c>
      <c r="D47" s="53">
        <v>54.938049999999997</v>
      </c>
      <c r="E47" s="277">
        <f>'Fe Sheet'!E47</f>
        <v>-6.58</v>
      </c>
      <c r="F47" s="57">
        <f t="shared" si="16"/>
        <v>1.4450179445214791E-5</v>
      </c>
      <c r="G47" s="57">
        <f t="shared" si="6"/>
        <v>1.018105236154494E-5</v>
      </c>
      <c r="H47" s="103">
        <f>'Fe Sheet'!I47</f>
        <v>-0.5</v>
      </c>
      <c r="I47" s="102">
        <f>'Fe Sheet'!H47</f>
        <v>0</v>
      </c>
      <c r="J47" s="155">
        <f t="shared" si="43"/>
        <v>-0.4107964417027401</v>
      </c>
      <c r="L47" s="21"/>
      <c r="M47" s="287">
        <f t="shared" si="27"/>
        <v>-5.83</v>
      </c>
      <c r="N47" s="9">
        <f t="shared" si="17"/>
        <v>8.1259330584604276E-5</v>
      </c>
      <c r="O47" s="10">
        <f t="shared" si="7"/>
        <v>5.0676267350832052E-5</v>
      </c>
      <c r="P47" s="5">
        <f t="shared" si="29"/>
        <v>-6.03</v>
      </c>
      <c r="Q47" s="9">
        <f t="shared" si="18"/>
        <v>5.1271171439900075E-5</v>
      </c>
      <c r="R47" s="10">
        <f t="shared" si="9"/>
        <v>3.4058365178485221E-5</v>
      </c>
      <c r="S47" s="5">
        <f t="shared" si="31"/>
        <v>-6.18</v>
      </c>
      <c r="T47" s="9">
        <f t="shared" si="19"/>
        <v>3.6297209681313655E-5</v>
      </c>
      <c r="U47" s="10">
        <f t="shared" si="10"/>
        <v>2.4694608547258962E-5</v>
      </c>
      <c r="V47" s="5">
        <f t="shared" si="33"/>
        <v>-6.3800000000000008</v>
      </c>
      <c r="W47" s="9">
        <f t="shared" si="20"/>
        <v>2.2901991032562393E-5</v>
      </c>
      <c r="X47" s="10">
        <f t="shared" si="11"/>
        <v>1.5890661814314931E-5</v>
      </c>
      <c r="Y47" s="5">
        <f t="shared" si="35"/>
        <v>-6.58</v>
      </c>
      <c r="Z47" s="9">
        <f t="shared" si="21"/>
        <v>1.4450179445214791E-5</v>
      </c>
      <c r="AA47" s="10">
        <f t="shared" si="12"/>
        <v>1.0181051562246421E-5</v>
      </c>
      <c r="AB47" s="5">
        <f t="shared" si="37"/>
        <v>-7.58</v>
      </c>
      <c r="AC47" s="9">
        <f t="shared" si="22"/>
        <v>1.4450179445214773E-6</v>
      </c>
      <c r="AD47" s="10">
        <f t="shared" si="13"/>
        <v>1.0584816214549654E-6</v>
      </c>
      <c r="AE47" s="5">
        <f t="shared" si="39"/>
        <v>-7.78</v>
      </c>
      <c r="AF47" s="9">
        <f t="shared" si="23"/>
        <v>9.1174468500149712E-7</v>
      </c>
      <c r="AG47" s="10">
        <f t="shared" si="14"/>
        <v>6.7204561660054664E-7</v>
      </c>
      <c r="AH47" s="5">
        <f t="shared" si="41"/>
        <v>-9.08</v>
      </c>
      <c r="AI47" s="9">
        <f t="shared" si="24"/>
        <v>4.5695479645026995E-8</v>
      </c>
      <c r="AJ47" s="10">
        <f t="shared" si="15"/>
        <v>3.4027634516037195E-8</v>
      </c>
    </row>
    <row r="48" spans="1:36">
      <c r="A48" s="20"/>
      <c r="B48" s="50" t="s">
        <v>19</v>
      </c>
      <c r="C48" s="101">
        <v>26</v>
      </c>
      <c r="D48" s="233">
        <v>55.844999999999999</v>
      </c>
      <c r="E48" s="277">
        <f>'Fe Sheet'!E48</f>
        <v>-4.4800000000000004</v>
      </c>
      <c r="F48" s="10">
        <f t="shared" si="16"/>
        <v>1.8492017479195268E-3</v>
      </c>
      <c r="G48" s="147">
        <f t="shared" si="6"/>
        <v>1.302877925773003E-3</v>
      </c>
      <c r="H48" s="103">
        <f>'Fe Sheet'!I48</f>
        <v>-0.5</v>
      </c>
      <c r="I48" s="102">
        <f>'Fe Sheet'!H48</f>
        <v>0</v>
      </c>
      <c r="J48" s="155">
        <f t="shared" si="43"/>
        <v>-0.4107964417027401</v>
      </c>
      <c r="L48" s="21"/>
      <c r="M48" s="287">
        <f t="shared" si="27"/>
        <v>-3.7300000000000004</v>
      </c>
      <c r="N48" s="9">
        <f t="shared" si="17"/>
        <v>1.0398825614693767E-2</v>
      </c>
      <c r="O48" s="10">
        <f t="shared" si="7"/>
        <v>6.4850850135448239E-3</v>
      </c>
      <c r="P48" s="5">
        <f t="shared" si="29"/>
        <v>-3.9300000000000006</v>
      </c>
      <c r="Q48" s="9">
        <f t="shared" si="18"/>
        <v>6.5612153955597928E-3</v>
      </c>
      <c r="R48" s="10">
        <f t="shared" si="9"/>
        <v>4.3584779454204393E-3</v>
      </c>
      <c r="S48" s="5">
        <f t="shared" si="31"/>
        <v>-4.08</v>
      </c>
      <c r="T48" s="9">
        <f t="shared" si="19"/>
        <v>4.6449847797228579E-3</v>
      </c>
      <c r="U48" s="10">
        <f t="shared" si="10"/>
        <v>3.1601900490517395E-3</v>
      </c>
      <c r="V48" s="5">
        <f t="shared" si="33"/>
        <v>-4.2800000000000011</v>
      </c>
      <c r="W48" s="9">
        <f t="shared" si="20"/>
        <v>2.9307872617648448E-3</v>
      </c>
      <c r="X48" s="10">
        <f t="shared" si="11"/>
        <v>2.0335415012690495E-3</v>
      </c>
      <c r="Y48" s="5">
        <f t="shared" si="35"/>
        <v>-4.4800000000000004</v>
      </c>
      <c r="Z48" s="9">
        <f t="shared" si="21"/>
        <v>1.8492017479195268E-3</v>
      </c>
      <c r="AA48" s="10">
        <f t="shared" si="12"/>
        <v>1.3028778234860918E-3</v>
      </c>
      <c r="AB48" s="5">
        <f t="shared" si="37"/>
        <v>-5.48</v>
      </c>
      <c r="AC48" s="9">
        <f t="shared" si="22"/>
        <v>1.8492017479195252E-4</v>
      </c>
      <c r="AD48" s="10">
        <f t="shared" si="13"/>
        <v>1.3545479292877548E-4</v>
      </c>
      <c r="AE48" s="5">
        <f t="shared" si="39"/>
        <v>-5.6800000000000006</v>
      </c>
      <c r="AF48" s="9">
        <f t="shared" si="23"/>
        <v>1.1667674242754352E-4</v>
      </c>
      <c r="AG48" s="10">
        <f t="shared" si="14"/>
        <v>8.6002248872482214E-5</v>
      </c>
      <c r="AH48" s="5">
        <f t="shared" si="41"/>
        <v>-6.98</v>
      </c>
      <c r="AI48" s="9">
        <f t="shared" si="24"/>
        <v>5.8476893765902434E-6</v>
      </c>
      <c r="AJ48" s="10">
        <f t="shared" si="15"/>
        <v>4.354545316422373E-6</v>
      </c>
    </row>
    <row r="49" spans="1:36">
      <c r="A49" s="20"/>
      <c r="B49" s="50" t="s">
        <v>20</v>
      </c>
      <c r="C49" s="55">
        <v>27</v>
      </c>
      <c r="D49" s="53">
        <v>58.933199999999999</v>
      </c>
      <c r="E49" s="277">
        <f>'Fe Sheet'!E49</f>
        <v>-7.07</v>
      </c>
      <c r="F49" s="57">
        <f t="shared" si="16"/>
        <v>5.016028823298812E-6</v>
      </c>
      <c r="G49" s="57">
        <f t="shared" si="6"/>
        <v>3.5341050462826804E-6</v>
      </c>
      <c r="H49" s="103">
        <f>'Fe Sheet'!I49</f>
        <v>-0.5</v>
      </c>
      <c r="I49" s="102">
        <f>'Fe Sheet'!H49</f>
        <v>0</v>
      </c>
      <c r="J49" s="155">
        <f t="shared" si="43"/>
        <v>-0.4107964417027401</v>
      </c>
      <c r="L49" s="21"/>
      <c r="M49" s="287">
        <f t="shared" si="27"/>
        <v>-6.32</v>
      </c>
      <c r="N49" s="9">
        <f t="shared" si="17"/>
        <v>2.8207202956868457E-5</v>
      </c>
      <c r="O49" s="10">
        <f t="shared" si="7"/>
        <v>1.7591035367602118E-5</v>
      </c>
      <c r="P49" s="5">
        <f t="shared" si="29"/>
        <v>-6.5200000000000005</v>
      </c>
      <c r="Q49" s="9">
        <f t="shared" si="18"/>
        <v>1.7797541872879581E-5</v>
      </c>
      <c r="R49" s="10">
        <f t="shared" si="9"/>
        <v>1.1822534250001446E-5</v>
      </c>
      <c r="S49" s="5">
        <f t="shared" si="31"/>
        <v>-6.67</v>
      </c>
      <c r="T49" s="9">
        <f t="shared" si="19"/>
        <v>1.2599694741305269E-5</v>
      </c>
      <c r="U49" s="10">
        <f t="shared" si="10"/>
        <v>8.5721335657289593E-6</v>
      </c>
      <c r="V49" s="5">
        <f t="shared" si="33"/>
        <v>-6.870000000000001</v>
      </c>
      <c r="W49" s="9">
        <f t="shared" si="20"/>
        <v>7.949869935235015E-6</v>
      </c>
      <c r="X49" s="10">
        <f t="shared" si="11"/>
        <v>5.5160572907828561E-6</v>
      </c>
      <c r="Y49" s="5">
        <f t="shared" si="35"/>
        <v>-7.07</v>
      </c>
      <c r="Z49" s="9">
        <f t="shared" si="21"/>
        <v>5.016028823298812E-6</v>
      </c>
      <c r="AA49" s="10">
        <f t="shared" si="12"/>
        <v>3.5341047688256129E-6</v>
      </c>
      <c r="AB49" s="5">
        <f t="shared" si="37"/>
        <v>-8.07</v>
      </c>
      <c r="AC49" s="9">
        <f t="shared" si="22"/>
        <v>5.0160288232988235E-7</v>
      </c>
      <c r="AD49" s="10">
        <f t="shared" si="13"/>
        <v>3.6742618610929418E-7</v>
      </c>
      <c r="AE49" s="5">
        <f t="shared" si="39"/>
        <v>-8.27</v>
      </c>
      <c r="AF49" s="9">
        <f t="shared" si="23"/>
        <v>3.1649002261847405E-7</v>
      </c>
      <c r="AG49" s="10">
        <f t="shared" si="14"/>
        <v>2.3328431291947055E-7</v>
      </c>
      <c r="AH49" s="5">
        <f t="shared" si="41"/>
        <v>-9.57</v>
      </c>
      <c r="AI49" s="9">
        <f t="shared" si="24"/>
        <v>1.5862075890678498E-8</v>
      </c>
      <c r="AJ49" s="10">
        <f t="shared" si="15"/>
        <v>1.1811866846929869E-8</v>
      </c>
    </row>
    <row r="50" spans="1:36">
      <c r="A50" s="20"/>
      <c r="B50" s="50" t="s">
        <v>21</v>
      </c>
      <c r="C50" s="55">
        <v>28</v>
      </c>
      <c r="D50" s="53">
        <v>58.693399999999997</v>
      </c>
      <c r="E50" s="277">
        <f>'Fe Sheet'!E50</f>
        <v>-5.8</v>
      </c>
      <c r="F50" s="57">
        <f t="shared" si="16"/>
        <v>9.3022770102396977E-5</v>
      </c>
      <c r="G50" s="57">
        <f t="shared" si="6"/>
        <v>6.554034133756623E-5</v>
      </c>
      <c r="H50" s="103">
        <f>'Fe Sheet'!I50</f>
        <v>-0.5</v>
      </c>
      <c r="I50" s="102">
        <f>'Fe Sheet'!H50</f>
        <v>0</v>
      </c>
      <c r="J50" s="155">
        <f t="shared" si="43"/>
        <v>-0.4107964417027401</v>
      </c>
      <c r="L50" s="21"/>
      <c r="M50" s="287">
        <f t="shared" si="27"/>
        <v>-5.05</v>
      </c>
      <c r="N50" s="9">
        <f t="shared" si="17"/>
        <v>5.2310547812259105E-4</v>
      </c>
      <c r="O50" s="10">
        <f t="shared" si="7"/>
        <v>3.2622755899305622E-4</v>
      </c>
      <c r="P50" s="5">
        <f t="shared" si="29"/>
        <v>-5.25</v>
      </c>
      <c r="Q50" s="9">
        <f t="shared" si="18"/>
        <v>3.3005724335927189E-4</v>
      </c>
      <c r="R50" s="10">
        <f t="shared" si="9"/>
        <v>2.1925011284969692E-4</v>
      </c>
      <c r="S50" s="5">
        <f t="shared" si="31"/>
        <v>-5.3999999999999995</v>
      </c>
      <c r="T50" s="9">
        <f t="shared" si="19"/>
        <v>2.3366263404164635E-4</v>
      </c>
      <c r="U50" s="10">
        <f t="shared" si="10"/>
        <v>1.5897109806626463E-4</v>
      </c>
      <c r="V50" s="5">
        <f t="shared" si="33"/>
        <v>-5.6000000000000005</v>
      </c>
      <c r="W50" s="9">
        <f t="shared" si="20"/>
        <v>1.4743115507916417E-4</v>
      </c>
      <c r="X50" s="10">
        <f t="shared" si="11"/>
        <v>1.0229584942749386E-4</v>
      </c>
      <c r="Y50" s="5">
        <f t="shared" si="35"/>
        <v>-5.8</v>
      </c>
      <c r="Z50" s="9">
        <f t="shared" si="21"/>
        <v>9.3022770102396977E-5</v>
      </c>
      <c r="AA50" s="10">
        <f t="shared" si="12"/>
        <v>6.5540336192096391E-5</v>
      </c>
      <c r="AB50" s="5">
        <f t="shared" si="37"/>
        <v>-6.8</v>
      </c>
      <c r="AC50" s="9">
        <f t="shared" si="22"/>
        <v>9.3022770102397045E-6</v>
      </c>
      <c r="AD50" s="10">
        <f t="shared" si="13"/>
        <v>6.8139563874290863E-6</v>
      </c>
      <c r="AE50" s="5">
        <f t="shared" si="39"/>
        <v>-7</v>
      </c>
      <c r="AF50" s="9">
        <f t="shared" si="23"/>
        <v>5.8693399999999993E-6</v>
      </c>
      <c r="AG50" s="10">
        <f t="shared" si="14"/>
        <v>4.3262815613032885E-6</v>
      </c>
      <c r="AH50" s="5">
        <f t="shared" si="41"/>
        <v>-8.3000000000000007</v>
      </c>
      <c r="AI50" s="9">
        <f t="shared" si="24"/>
        <v>2.9416382778178875E-7</v>
      </c>
      <c r="AJ50" s="10">
        <f t="shared" si="15"/>
        <v>2.1905228476328213E-7</v>
      </c>
    </row>
    <row r="51" spans="1:36">
      <c r="A51" s="20"/>
      <c r="B51" s="50" t="s">
        <v>22</v>
      </c>
      <c r="C51" s="55">
        <v>29</v>
      </c>
      <c r="D51" s="53">
        <v>63.545999999999999</v>
      </c>
      <c r="E51" s="277">
        <f>'Fe Sheet'!E51</f>
        <v>-7.82</v>
      </c>
      <c r="F51" s="57">
        <f t="shared" si="16"/>
        <v>9.6180763093126951E-7</v>
      </c>
      <c r="G51" s="57">
        <f t="shared" si="6"/>
        <v>6.7765344294651366E-7</v>
      </c>
      <c r="H51" s="103">
        <f>'Fe Sheet'!I51</f>
        <v>-0.5</v>
      </c>
      <c r="I51" s="102">
        <f>'Fe Sheet'!H51</f>
        <v>0</v>
      </c>
      <c r="J51" s="155">
        <f t="shared" si="43"/>
        <v>-0.4107964417027401</v>
      </c>
      <c r="L51" s="21"/>
      <c r="M51" s="287">
        <f t="shared" si="27"/>
        <v>-7.07</v>
      </c>
      <c r="N51" s="9">
        <f t="shared" si="17"/>
        <v>5.4086417775608032E-6</v>
      </c>
      <c r="O51" s="10">
        <f t="shared" si="7"/>
        <v>3.373025285252361E-6</v>
      </c>
      <c r="P51" s="5">
        <f t="shared" si="29"/>
        <v>-7.2700000000000005</v>
      </c>
      <c r="Q51" s="9">
        <f t="shared" si="18"/>
        <v>3.412622253214403E-6</v>
      </c>
      <c r="R51" s="10">
        <f t="shared" si="9"/>
        <v>2.2669334764945586E-6</v>
      </c>
      <c r="S51" s="5">
        <f t="shared" si="31"/>
        <v>-7.42</v>
      </c>
      <c r="T51" s="9">
        <f t="shared" si="19"/>
        <v>2.4159515378586378E-6</v>
      </c>
      <c r="U51" s="10">
        <f t="shared" si="10"/>
        <v>1.6436794458964077E-6</v>
      </c>
      <c r="V51" s="5">
        <f t="shared" si="33"/>
        <v>-7.620000000000001</v>
      </c>
      <c r="W51" s="9">
        <f t="shared" si="20"/>
        <v>1.5243623667201174E-6</v>
      </c>
      <c r="X51" s="10">
        <f t="shared" si="11"/>
        <v>1.0576865049670704E-6</v>
      </c>
      <c r="Y51" s="5">
        <f t="shared" si="35"/>
        <v>-7.82</v>
      </c>
      <c r="Z51" s="9">
        <f t="shared" si="21"/>
        <v>9.6180763093126951E-7</v>
      </c>
      <c r="AA51" s="10">
        <f t="shared" si="12"/>
        <v>6.776533897450002E-7</v>
      </c>
      <c r="AB51" s="5">
        <f t="shared" si="37"/>
        <v>-8.82</v>
      </c>
      <c r="AC51" s="9">
        <f t="shared" si="22"/>
        <v>9.6180763093127176E-8</v>
      </c>
      <c r="AD51" s="10">
        <f t="shared" si="13"/>
        <v>7.0452806802549715E-8</v>
      </c>
      <c r="AE51" s="5">
        <f t="shared" si="39"/>
        <v>-9.02</v>
      </c>
      <c r="AF51" s="9">
        <f t="shared" si="23"/>
        <v>6.0685958871318002E-8</v>
      </c>
      <c r="AG51" s="10">
        <f t="shared" si="14"/>
        <v>4.4731527717766023E-8</v>
      </c>
      <c r="AH51" s="5">
        <f t="shared" si="41"/>
        <v>-10.32</v>
      </c>
      <c r="AI51" s="9">
        <f t="shared" si="24"/>
        <v>3.0415027846734239E-9</v>
      </c>
      <c r="AJ51" s="10">
        <f t="shared" si="15"/>
        <v>2.2648880357608838E-9</v>
      </c>
    </row>
    <row r="52" spans="1:36">
      <c r="A52" s="20"/>
      <c r="B52" s="51" t="s">
        <v>23</v>
      </c>
      <c r="C52" s="56">
        <v>30</v>
      </c>
      <c r="D52" s="54">
        <v>65.38</v>
      </c>
      <c r="E52" s="278">
        <f>'Fe Sheet'!E52</f>
        <v>-7.44</v>
      </c>
      <c r="F52" s="58">
        <f t="shared" si="16"/>
        <v>2.3738043220869143E-6</v>
      </c>
      <c r="G52" s="58">
        <f t="shared" si="6"/>
        <v>1.6724931472897239E-6</v>
      </c>
      <c r="H52" s="103">
        <f>'Fe Sheet'!I52</f>
        <v>-0.3</v>
      </c>
      <c r="I52" s="102">
        <f>'Fe Sheet'!H52</f>
        <v>0.2</v>
      </c>
      <c r="J52" s="155">
        <f>H52+$J$30</f>
        <v>-0.21079644170274009</v>
      </c>
      <c r="L52" s="21"/>
      <c r="M52" s="287">
        <f t="shared" si="27"/>
        <v>-6.79</v>
      </c>
      <c r="N52" s="9">
        <f t="shared" si="17"/>
        <v>1.0603394416532676E-5</v>
      </c>
      <c r="O52" s="10">
        <f t="shared" si="7"/>
        <v>6.6126615419145037E-6</v>
      </c>
      <c r="P52" s="5">
        <f t="shared" si="29"/>
        <v>-6.99</v>
      </c>
      <c r="Q52" s="9">
        <f t="shared" si="18"/>
        <v>6.690289583531565E-6</v>
      </c>
      <c r="R52" s="10">
        <f t="shared" si="9"/>
        <v>4.4442192246929856E-6</v>
      </c>
      <c r="S52" s="5">
        <f t="shared" si="31"/>
        <v>-7.12</v>
      </c>
      <c r="T52" s="9">
        <f t="shared" si="19"/>
        <v>4.9595801855407877E-6</v>
      </c>
      <c r="U52" s="10">
        <f t="shared" si="10"/>
        <v>3.3742233167780837E-6</v>
      </c>
      <c r="V52" s="5">
        <f t="shared" si="33"/>
        <v>-7.2800000000000011</v>
      </c>
      <c r="W52" s="9">
        <f t="shared" si="20"/>
        <v>3.431191175112996E-6</v>
      </c>
      <c r="X52" s="10">
        <f t="shared" si="11"/>
        <v>2.380749276622263E-6</v>
      </c>
      <c r="Y52" s="5">
        <f t="shared" si="35"/>
        <v>-7.44</v>
      </c>
      <c r="Z52" s="9">
        <f t="shared" si="21"/>
        <v>2.3738043220869143E-6</v>
      </c>
      <c r="AA52" s="10">
        <f t="shared" si="12"/>
        <v>1.672493015984899E-6</v>
      </c>
      <c r="AB52" s="5">
        <f t="shared" si="37"/>
        <v>-8.24</v>
      </c>
      <c r="AC52" s="9">
        <f t="shared" si="22"/>
        <v>3.7622263103103204E-7</v>
      </c>
      <c r="AD52" s="10">
        <f t="shared" si="13"/>
        <v>2.7558463341689051E-7</v>
      </c>
      <c r="AE52" s="5">
        <f t="shared" si="39"/>
        <v>-8.44</v>
      </c>
      <c r="AF52" s="9">
        <f t="shared" si="23"/>
        <v>2.3738043220869198E-7</v>
      </c>
      <c r="AG52" s="10">
        <f t="shared" si="14"/>
        <v>1.749727544968718E-7</v>
      </c>
      <c r="AH52" s="5">
        <f t="shared" si="41"/>
        <v>-9.74</v>
      </c>
      <c r="AI52" s="9">
        <f t="shared" si="24"/>
        <v>1.1897204213592036E-8</v>
      </c>
      <c r="AJ52" s="10">
        <f t="shared" si="15"/>
        <v>8.8593821508737628E-9</v>
      </c>
    </row>
    <row r="53" spans="1:36" ht="18">
      <c r="A53" s="20"/>
      <c r="B53" s="20"/>
      <c r="C53" s="21"/>
      <c r="D53" s="21"/>
      <c r="E53" s="21"/>
      <c r="F53" s="6" t="s">
        <v>58</v>
      </c>
      <c r="G53" s="100">
        <f>G19</f>
        <v>1.4254452236841769E-2</v>
      </c>
      <c r="H53" s="148">
        <f>H30-J30</f>
        <v>-8.9203558297259899E-2</v>
      </c>
      <c r="I53" s="148">
        <f>I30-J30</f>
        <v>0.4107964417027401</v>
      </c>
      <c r="J53" s="156">
        <f>H53+$J$30</f>
        <v>0</v>
      </c>
      <c r="K53" s="20"/>
      <c r="L53" s="20"/>
      <c r="M53" s="2"/>
      <c r="N53" s="3" t="s">
        <v>47</v>
      </c>
      <c r="O53" s="4">
        <f>O23</f>
        <v>0.62858796086704694</v>
      </c>
      <c r="P53" s="2"/>
      <c r="Q53" s="3" t="s">
        <v>47</v>
      </c>
      <c r="R53" s="4">
        <f>R23</f>
        <v>0.66955342805542306</v>
      </c>
      <c r="S53" s="2"/>
      <c r="T53" s="3" t="s">
        <v>47</v>
      </c>
      <c r="U53" s="4">
        <f>U23</f>
        <v>0.6857464790726957</v>
      </c>
      <c r="V53" s="2"/>
      <c r="W53" s="3" t="s">
        <v>47</v>
      </c>
      <c r="X53" s="4">
        <f>X23</f>
        <v>0.69936424507142725</v>
      </c>
      <c r="Y53" s="2"/>
      <c r="Z53" s="3" t="s">
        <v>47</v>
      </c>
      <c r="AA53" s="4">
        <f>AA23</f>
        <v>0.71015651747140784</v>
      </c>
      <c r="AB53" s="2"/>
      <c r="AC53" s="3" t="s">
        <v>47</v>
      </c>
      <c r="AD53" s="4">
        <f>AD23</f>
        <v>0.73832021918774215</v>
      </c>
      <c r="AE53" s="2"/>
      <c r="AF53" s="3" t="s">
        <v>47</v>
      </c>
      <c r="AG53" s="4">
        <f>AG23</f>
        <v>0.74295103655607575</v>
      </c>
      <c r="AH53" s="2"/>
      <c r="AI53" s="3" t="s">
        <v>47</v>
      </c>
      <c r="AJ53" s="4">
        <f>AJ23</f>
        <v>0.75057345279068832</v>
      </c>
    </row>
    <row r="54" spans="1:36" ht="18">
      <c r="L54" s="20"/>
      <c r="M54" s="5"/>
      <c r="N54" s="6" t="s">
        <v>48</v>
      </c>
      <c r="O54" s="7">
        <f>O24</f>
        <v>0.32069201012389548</v>
      </c>
      <c r="P54" s="5"/>
      <c r="Q54" s="6" t="s">
        <v>48</v>
      </c>
      <c r="R54" s="7">
        <f>R24</f>
        <v>0.2974648105046564</v>
      </c>
      <c r="S54" s="5"/>
      <c r="T54" s="6" t="s">
        <v>48</v>
      </c>
      <c r="U54" s="7">
        <f>U24</f>
        <v>0.28876690599863042</v>
      </c>
      <c r="V54" s="5"/>
      <c r="W54" s="6" t="s">
        <v>48</v>
      </c>
      <c r="X54" s="7">
        <f>X24</f>
        <v>0.28162714551996687</v>
      </c>
      <c r="Y54" s="5"/>
      <c r="Z54" s="6" t="s">
        <v>48</v>
      </c>
      <c r="AA54" s="7">
        <f>AA24</f>
        <v>0.27558895290240742</v>
      </c>
      <c r="AB54" s="5"/>
      <c r="AC54" s="6" t="s">
        <v>48</v>
      </c>
      <c r="AD54" s="7">
        <f>AD24</f>
        <v>0.25800834305286185</v>
      </c>
      <c r="AE54" s="5"/>
      <c r="AF54" s="6" t="s">
        <v>48</v>
      </c>
      <c r="AG54" s="7">
        <f>AG24</f>
        <v>0.25473018049803592</v>
      </c>
      <c r="AH54" s="5"/>
      <c r="AI54" s="6" t="s">
        <v>48</v>
      </c>
      <c r="AJ54" s="7">
        <f>AJ24</f>
        <v>0.24931013526881002</v>
      </c>
    </row>
    <row r="55" spans="1:36" ht="18">
      <c r="L55" s="20"/>
      <c r="M55" s="14"/>
      <c r="N55" s="95" t="s">
        <v>1</v>
      </c>
      <c r="O55" s="96">
        <f>SUM(O25:O52)</f>
        <v>5.0720029009057761E-2</v>
      </c>
      <c r="P55" s="22"/>
      <c r="Q55" s="95" t="s">
        <v>1</v>
      </c>
      <c r="R55" s="96">
        <f>SUM(R25:R52)</f>
        <v>3.2981761439920328E-2</v>
      </c>
      <c r="S55" s="14"/>
      <c r="T55" s="95" t="s">
        <v>1</v>
      </c>
      <c r="U55" s="96">
        <f>SUM(U25:U52)</f>
        <v>2.5486614928674146E-2</v>
      </c>
      <c r="V55" s="14"/>
      <c r="W55" s="95" t="s">
        <v>1</v>
      </c>
      <c r="X55" s="96">
        <f>SUM(X25:X52)</f>
        <v>1.9008609408606051E-2</v>
      </c>
      <c r="Y55" s="14"/>
      <c r="Z55" s="95" t="s">
        <v>1</v>
      </c>
      <c r="AA55" s="96">
        <f>SUM(AA25:AA52)</f>
        <v>1.4254529626185073E-2</v>
      </c>
      <c r="AB55" s="14"/>
      <c r="AC55" s="95" t="s">
        <v>1</v>
      </c>
      <c r="AD55" s="96">
        <f>SUM(AD25:AD52)</f>
        <v>3.671437759396442E-3</v>
      </c>
      <c r="AE55" s="14"/>
      <c r="AF55" s="95" t="s">
        <v>1</v>
      </c>
      <c r="AG55" s="96">
        <f>SUM(AG25:AG52)</f>
        <v>2.3187829458883855E-3</v>
      </c>
      <c r="AH55" s="14"/>
      <c r="AI55" s="95" t="s">
        <v>1</v>
      </c>
      <c r="AJ55" s="96">
        <f>SUM(AJ25:AJ52)</f>
        <v>1.1641194050190241E-4</v>
      </c>
    </row>
    <row r="57" spans="1:36">
      <c r="B57" s="21" t="s">
        <v>82</v>
      </c>
    </row>
    <row r="58" spans="1:36">
      <c r="B58" s="182">
        <f>D69-D71</f>
        <v>8.9203558297259899E-2</v>
      </c>
    </row>
    <row r="60" spans="1:36">
      <c r="A60" s="20"/>
      <c r="B60" s="177" t="s">
        <v>80</v>
      </c>
      <c r="C60" s="178"/>
      <c r="D60" s="178"/>
      <c r="E60" s="29"/>
      <c r="F60" s="178"/>
      <c r="G60" s="178"/>
      <c r="H60" s="20"/>
      <c r="I60" s="31"/>
      <c r="J60" s="20"/>
      <c r="K60" s="20"/>
    </row>
    <row r="61" spans="1:36">
      <c r="A61" s="20"/>
      <c r="B61" s="179" t="s">
        <v>53</v>
      </c>
      <c r="C61" s="175" t="s">
        <v>54</v>
      </c>
      <c r="D61" s="179" t="s">
        <v>57</v>
      </c>
      <c r="E61" s="175" t="s">
        <v>52</v>
      </c>
      <c r="F61" s="179" t="s">
        <v>50</v>
      </c>
      <c r="G61" s="175" t="s">
        <v>55</v>
      </c>
      <c r="H61" s="20"/>
      <c r="I61" s="20"/>
      <c r="J61" s="20"/>
      <c r="K61" s="20"/>
    </row>
    <row r="62" spans="1:36">
      <c r="B62" s="180">
        <v>0.01</v>
      </c>
      <c r="C62" s="181">
        <f>LOG(B62)</f>
        <v>-2</v>
      </c>
      <c r="D62" s="180">
        <f>D66</f>
        <v>0.01</v>
      </c>
      <c r="E62" s="181">
        <f>LOG(D62)</f>
        <v>-2</v>
      </c>
      <c r="F62" s="180">
        <f>D70</f>
        <v>8.1432251320773755E-3</v>
      </c>
      <c r="G62" s="181">
        <f>LOG(F62)</f>
        <v>-2.0892035582972599</v>
      </c>
      <c r="H62" s="20"/>
    </row>
    <row r="63" spans="1:36">
      <c r="B63" s="20"/>
      <c r="C63" s="20"/>
      <c r="D63" s="20"/>
      <c r="E63" s="20"/>
      <c r="F63" s="20"/>
      <c r="G63" s="20"/>
      <c r="H63" s="20"/>
    </row>
    <row r="64" spans="1:36">
      <c r="B64" s="20"/>
      <c r="C64" s="20"/>
      <c r="D64" s="20"/>
      <c r="E64" s="20"/>
      <c r="F64" s="20"/>
      <c r="G64" s="20"/>
      <c r="H64" s="20"/>
    </row>
    <row r="65" spans="2:8">
      <c r="B65" s="20"/>
      <c r="C65" s="20"/>
      <c r="D65" s="20"/>
      <c r="E65" s="20"/>
      <c r="F65" s="20"/>
      <c r="G65" s="20"/>
      <c r="H65" s="20"/>
    </row>
    <row r="66" spans="2:8" ht="20">
      <c r="B66" s="183" t="s">
        <v>38</v>
      </c>
      <c r="C66" s="184" t="s">
        <v>33</v>
      </c>
      <c r="D66" s="185">
        <f>B62</f>
        <v>0.01</v>
      </c>
      <c r="E66" s="186"/>
      <c r="F66" s="187"/>
      <c r="G66" s="20"/>
    </row>
    <row r="67" spans="2:8">
      <c r="B67" s="29"/>
      <c r="C67" s="188" t="s">
        <v>52</v>
      </c>
      <c r="D67" s="189">
        <f>C62</f>
        <v>-2</v>
      </c>
      <c r="E67" s="190"/>
      <c r="F67" s="181"/>
      <c r="G67" s="20"/>
    </row>
    <row r="68" spans="2:8" ht="20">
      <c r="B68" s="183" t="s">
        <v>37</v>
      </c>
      <c r="C68" s="184" t="s">
        <v>53</v>
      </c>
      <c r="D68" s="191">
        <f>10^D69</f>
        <v>0.01</v>
      </c>
      <c r="E68" s="186"/>
      <c r="F68" s="187"/>
      <c r="G68" s="20"/>
      <c r="H68" s="20"/>
    </row>
    <row r="69" spans="2:8">
      <c r="B69" s="178"/>
      <c r="C69" s="188" t="s">
        <v>54</v>
      </c>
      <c r="D69" s="189">
        <f>IF(D$67&gt;$C$3,($H30/$C$2)*$C$3,IF(D$67&gt;$C$2,($H30/$C$2)*D$67,$H30))+D$67</f>
        <v>-2</v>
      </c>
      <c r="E69" s="192"/>
      <c r="F69" s="193"/>
      <c r="G69" s="20"/>
      <c r="H69" s="20"/>
    </row>
    <row r="70" spans="2:8" ht="20">
      <c r="B70" s="183" t="s">
        <v>37</v>
      </c>
      <c r="C70" s="184" t="s">
        <v>50</v>
      </c>
      <c r="D70" s="194">
        <f>F105/$G$19</f>
        <v>8.1432251320773755E-3</v>
      </c>
      <c r="E70" s="186"/>
      <c r="F70" s="187"/>
      <c r="G70" s="20"/>
      <c r="H70" s="20"/>
    </row>
    <row r="71" spans="2:8">
      <c r="B71" s="29"/>
      <c r="C71" s="188" t="s">
        <v>55</v>
      </c>
      <c r="D71" s="189">
        <f>LOG(D70)</f>
        <v>-2.0892035582972599</v>
      </c>
      <c r="E71" s="192"/>
      <c r="F71" s="193"/>
      <c r="G71" s="32"/>
      <c r="H71" s="32"/>
    </row>
    <row r="72" spans="2:8" ht="45">
      <c r="B72" s="110"/>
      <c r="C72" s="111"/>
      <c r="D72" s="112" t="s">
        <v>56</v>
      </c>
      <c r="E72" s="113" t="s">
        <v>40</v>
      </c>
      <c r="F72" s="114" t="s">
        <v>49</v>
      </c>
      <c r="G72" s="32"/>
      <c r="H72" s="32"/>
    </row>
    <row r="73" spans="2:8">
      <c r="B73" s="29"/>
      <c r="C73" s="29"/>
      <c r="D73" s="195">
        <f>$E$23</f>
        <v>0</v>
      </c>
      <c r="E73" s="120">
        <f t="shared" ref="E73:E78" si="44">(10^D73)*$D23</f>
        <v>1.0079400000000001</v>
      </c>
      <c r="F73" s="196">
        <f t="shared" ref="F73:F102" si="45">E73/(SUM(E$73:E$102))</f>
        <v>0.75062347405325791</v>
      </c>
      <c r="G73" s="20"/>
      <c r="H73" s="20"/>
    </row>
    <row r="74" spans="2:8">
      <c r="B74" s="29"/>
      <c r="C74" s="197" t="s">
        <v>78</v>
      </c>
      <c r="D74" s="198">
        <f>-1.0783+LOG(1+0.14367*D$68)</f>
        <v>-1.0776764969041275</v>
      </c>
      <c r="E74" s="120">
        <f t="shared" si="44"/>
        <v>0.33470786003976971</v>
      </c>
      <c r="F74" s="196">
        <f t="shared" si="45"/>
        <v>0.24926044873304321</v>
      </c>
      <c r="G74" s="20"/>
      <c r="H74" s="20"/>
    </row>
    <row r="75" spans="2:8">
      <c r="B75" s="29"/>
      <c r="C75" s="29"/>
      <c r="D75" s="195">
        <f>$E25</f>
        <v>-8.7219999999999995</v>
      </c>
      <c r="E75" s="120">
        <f t="shared" si="44"/>
        <v>1.3165035799126567E-8</v>
      </c>
      <c r="F75" s="196">
        <f t="shared" si="45"/>
        <v>9.804140035692494E-9</v>
      </c>
      <c r="G75" s="20"/>
      <c r="H75" s="20"/>
    </row>
    <row r="76" spans="2:8">
      <c r="B76" s="29"/>
      <c r="C76" s="29"/>
      <c r="D76" s="195">
        <f>$E26</f>
        <v>-10.68</v>
      </c>
      <c r="E76" s="120">
        <f t="shared" si="44"/>
        <v>1.8829116983152398E-10</v>
      </c>
      <c r="F76" s="196">
        <f t="shared" si="45"/>
        <v>1.402224061278355E-10</v>
      </c>
      <c r="G76" s="20"/>
      <c r="H76" s="20"/>
    </row>
    <row r="77" spans="2:8">
      <c r="B77" s="29"/>
      <c r="C77" s="29"/>
      <c r="D77" s="195">
        <f>$E27</f>
        <v>-9.1929999999999996</v>
      </c>
      <c r="E77" s="120">
        <f t="shared" si="44"/>
        <v>6.9321167324621858E-9</v>
      </c>
      <c r="F77" s="196">
        <f t="shared" si="45"/>
        <v>5.1624199300191322E-9</v>
      </c>
      <c r="G77" s="20"/>
      <c r="H77" s="20"/>
    </row>
    <row r="78" spans="2:8">
      <c r="B78" s="29"/>
      <c r="C78" s="29"/>
      <c r="D78" s="195">
        <f>D$80+LOG(10^-0.8 + 10^(2.72+D$80))</f>
        <v>-6.0318025432150044</v>
      </c>
      <c r="E78" s="120">
        <f t="shared" si="44"/>
        <v>1.116261063239062E-5</v>
      </c>
      <c r="F78" s="196">
        <f t="shared" si="45"/>
        <v>8.3129130428288202E-6</v>
      </c>
      <c r="G78" s="20"/>
      <c r="H78" s="20"/>
    </row>
    <row r="79" spans="2:8">
      <c r="B79" s="178"/>
      <c r="C79" s="29"/>
      <c r="D79" s="195">
        <f>D$80+LOG(10^-1.732 + 10^(2.19+D$80))</f>
        <v>-6.9516039358825008</v>
      </c>
      <c r="E79" s="120">
        <f t="shared" ref="E79:E102" si="46">(10^D79)*$D29</f>
        <v>1.5657841445951016E-6</v>
      </c>
      <c r="F79" s="196">
        <f t="shared" si="45"/>
        <v>1.1660558507783041E-6</v>
      </c>
      <c r="G79" s="20"/>
      <c r="H79" s="20"/>
    </row>
    <row r="80" spans="2:8">
      <c r="B80" s="178"/>
      <c r="C80" s="199"/>
      <c r="D80" s="195">
        <f t="shared" ref="D80:D102" si="47">IF(D$67&gt;$C$3,($H30/$C$2)*$C$3,IF(D$67&gt;$C$2,($H30/$C$2)*D$67,$H30))+$E30+D$67</f>
        <v>-5.24</v>
      </c>
      <c r="E80" s="120">
        <f t="shared" si="46"/>
        <v>9.2066937334320942E-5</v>
      </c>
      <c r="F80" s="196">
        <f t="shared" si="45"/>
        <v>6.856321244055358E-5</v>
      </c>
      <c r="G80" s="20"/>
      <c r="H80" s="20"/>
    </row>
    <row r="81" spans="2:8">
      <c r="B81" s="199"/>
      <c r="C81" s="199"/>
      <c r="D81" s="195">
        <f t="shared" si="47"/>
        <v>-9.5599999999999987</v>
      </c>
      <c r="E81" s="120">
        <f t="shared" si="46"/>
        <v>5.2325938597499944E-9</v>
      </c>
      <c r="F81" s="196">
        <f t="shared" si="45"/>
        <v>3.8967674477799138E-9</v>
      </c>
      <c r="G81" s="20"/>
      <c r="H81" s="20"/>
    </row>
    <row r="82" spans="2:8">
      <c r="B82" s="199"/>
      <c r="C82" s="199"/>
      <c r="D82" s="195">
        <f t="shared" si="47"/>
        <v>-5.91</v>
      </c>
      <c r="E82" s="120">
        <f t="shared" si="46"/>
        <v>2.4826454714362564E-5</v>
      </c>
      <c r="F82" s="196">
        <f t="shared" si="45"/>
        <v>1.8488520830724757E-5</v>
      </c>
      <c r="G82" s="20"/>
      <c r="H82" s="20"/>
    </row>
    <row r="83" spans="2:8">
      <c r="B83" s="199"/>
      <c r="C83" s="199"/>
      <c r="D83" s="195">
        <f t="shared" si="47"/>
        <v>-8.09</v>
      </c>
      <c r="E83" s="120">
        <f t="shared" si="46"/>
        <v>1.868678661559391E-7</v>
      </c>
      <c r="F83" s="196">
        <f t="shared" si="45"/>
        <v>1.391624569745126E-7</v>
      </c>
      <c r="G83" s="20"/>
      <c r="H83" s="20"/>
    </row>
    <row r="84" spans="2:8">
      <c r="B84" s="199"/>
      <c r="C84" s="199"/>
      <c r="D84" s="195">
        <f t="shared" si="47"/>
        <v>-6.54</v>
      </c>
      <c r="E84" s="120">
        <f t="shared" si="46"/>
        <v>7.0096385683492045E-6</v>
      </c>
      <c r="F84" s="196">
        <f t="shared" si="45"/>
        <v>5.22015125308251E-6</v>
      </c>
      <c r="G84" s="20"/>
      <c r="H84" s="20"/>
    </row>
    <row r="85" spans="2:8">
      <c r="B85" s="199"/>
      <c r="C85" s="199"/>
      <c r="D85" s="195">
        <f t="shared" si="47"/>
        <v>-7.67</v>
      </c>
      <c r="E85" s="120">
        <f t="shared" si="46"/>
        <v>5.7685509636387973E-7</v>
      </c>
      <c r="F85" s="196">
        <f t="shared" si="45"/>
        <v>4.2959003160702254E-7</v>
      </c>
      <c r="G85" s="20"/>
      <c r="H85" s="20"/>
    </row>
    <row r="86" spans="2:8">
      <c r="B86" s="199"/>
      <c r="C86" s="199"/>
      <c r="D86" s="195">
        <f t="shared" si="47"/>
        <v>-6.6</v>
      </c>
      <c r="E86" s="120">
        <f t="shared" si="46"/>
        <v>7.054758637216225E-6</v>
      </c>
      <c r="F86" s="196">
        <f t="shared" si="45"/>
        <v>5.2537526409056795E-6</v>
      </c>
      <c r="G86" s="20"/>
      <c r="H86" s="20"/>
    </row>
    <row r="87" spans="2:8">
      <c r="B87" s="199"/>
      <c r="C87" s="199"/>
      <c r="D87" s="195">
        <f t="shared" si="47"/>
        <v>-9.09</v>
      </c>
      <c r="E87" s="120">
        <f t="shared" si="46"/>
        <v>2.5176417328342879E-8</v>
      </c>
      <c r="F87" s="196">
        <f t="shared" si="45"/>
        <v>1.8749141654478813E-8</v>
      </c>
      <c r="G87" s="20"/>
      <c r="H87" s="20"/>
    </row>
    <row r="88" spans="2:8">
      <c r="B88" s="199"/>
      <c r="C88" s="199"/>
      <c r="D88" s="195">
        <f t="shared" si="47"/>
        <v>-6.9799999999999995</v>
      </c>
      <c r="E88" s="120">
        <f t="shared" si="46"/>
        <v>3.3576176893252064E-6</v>
      </c>
      <c r="F88" s="196">
        <f t="shared" si="45"/>
        <v>2.500453057229556E-6</v>
      </c>
      <c r="G88" s="20"/>
      <c r="H88" s="20"/>
    </row>
    <row r="89" spans="2:8">
      <c r="B89" s="200"/>
      <c r="C89" s="200"/>
      <c r="D89" s="195">
        <f t="shared" si="47"/>
        <v>-8.75</v>
      </c>
      <c r="E89" s="120">
        <f t="shared" si="46"/>
        <v>6.3045339924109827E-8</v>
      </c>
      <c r="F89" s="196">
        <f t="shared" si="45"/>
        <v>4.6950524908926996E-8</v>
      </c>
      <c r="G89" s="20"/>
      <c r="H89" s="20"/>
    </row>
    <row r="90" spans="2:8">
      <c r="B90" s="199"/>
      <c r="C90" s="199"/>
      <c r="D90" s="195">
        <f t="shared" si="47"/>
        <v>-7.6</v>
      </c>
      <c r="E90" s="120">
        <f t="shared" si="46"/>
        <v>1.0034483916594451E-6</v>
      </c>
      <c r="F90" s="196">
        <f t="shared" si="45"/>
        <v>7.4727852628188871E-7</v>
      </c>
      <c r="G90" s="20"/>
      <c r="H90" s="20"/>
    </row>
    <row r="91" spans="2:8">
      <c r="B91" s="199"/>
      <c r="C91" s="199"/>
      <c r="D91" s="195">
        <f t="shared" si="47"/>
        <v>-9.0599999999999987</v>
      </c>
      <c r="E91" s="120">
        <f t="shared" si="46"/>
        <v>3.4053195729179873E-8</v>
      </c>
      <c r="F91" s="196">
        <f t="shared" si="45"/>
        <v>2.5359771495180828E-8</v>
      </c>
      <c r="G91" s="20"/>
      <c r="H91" s="20"/>
    </row>
    <row r="92" spans="2:8">
      <c r="B92" s="199"/>
      <c r="C92" s="199"/>
      <c r="D92" s="195">
        <f t="shared" si="47"/>
        <v>-7.83</v>
      </c>
      <c r="E92" s="120">
        <f t="shared" si="46"/>
        <v>5.9279705981005232E-7</v>
      </c>
      <c r="F92" s="196">
        <f t="shared" si="45"/>
        <v>4.4146217874395142E-7</v>
      </c>
      <c r="G92" s="20"/>
      <c r="H92" s="20"/>
    </row>
    <row r="93" spans="2:8">
      <c r="B93" s="199"/>
      <c r="C93" s="199"/>
      <c r="D93" s="195">
        <f t="shared" si="47"/>
        <v>-11.09</v>
      </c>
      <c r="E93" s="120">
        <f t="shared" si="46"/>
        <v>3.6541535529926764E-10</v>
      </c>
      <c r="F93" s="196">
        <f t="shared" si="45"/>
        <v>2.7212864204927065E-10</v>
      </c>
      <c r="G93" s="20"/>
      <c r="H93" s="20"/>
    </row>
    <row r="94" spans="2:8">
      <c r="B94" s="199"/>
      <c r="C94" s="199"/>
      <c r="D94" s="195">
        <f t="shared" si="47"/>
        <v>-9.2200000000000006</v>
      </c>
      <c r="E94" s="120">
        <f t="shared" si="46"/>
        <v>2.8842719706621158E-8</v>
      </c>
      <c r="F94" s="196">
        <f t="shared" si="45"/>
        <v>2.1479475432395118E-8</v>
      </c>
      <c r="G94" s="20"/>
      <c r="H94" s="20"/>
    </row>
    <row r="95" spans="2:8">
      <c r="B95" s="199"/>
      <c r="C95" s="199"/>
      <c r="D95" s="195">
        <f t="shared" si="47"/>
        <v>-10.61</v>
      </c>
      <c r="E95" s="120">
        <f t="shared" si="46"/>
        <v>1.2504655422836876E-9</v>
      </c>
      <c r="F95" s="196">
        <f t="shared" si="45"/>
        <v>9.3123478533729449E-10</v>
      </c>
      <c r="G95" s="20"/>
      <c r="H95" s="20"/>
    </row>
    <row r="96" spans="2:8">
      <c r="B96" s="199"/>
      <c r="C96" s="199"/>
      <c r="D96" s="195">
        <f t="shared" si="47"/>
        <v>-8.879999999999999</v>
      </c>
      <c r="E96" s="120">
        <f t="shared" si="46"/>
        <v>6.8544209203652765E-8</v>
      </c>
      <c r="F96" s="196">
        <f t="shared" si="45"/>
        <v>5.1045590450502144E-8</v>
      </c>
      <c r="G96" s="20"/>
      <c r="H96" s="20"/>
    </row>
    <row r="97" spans="2:8">
      <c r="B97" s="199"/>
      <c r="C97" s="199"/>
      <c r="D97" s="195">
        <f t="shared" si="47"/>
        <v>-9.08</v>
      </c>
      <c r="E97" s="120">
        <f t="shared" si="46"/>
        <v>4.5695479645026995E-8</v>
      </c>
      <c r="F97" s="196">
        <f t="shared" si="45"/>
        <v>3.4029902255769291E-8</v>
      </c>
      <c r="G97" s="20"/>
      <c r="H97" s="20"/>
    </row>
    <row r="98" spans="2:8">
      <c r="B98" s="199"/>
      <c r="C98" s="201"/>
      <c r="D98" s="195">
        <f t="shared" si="47"/>
        <v>-6.98</v>
      </c>
      <c r="E98" s="120">
        <f t="shared" si="46"/>
        <v>5.8476893765902434E-6</v>
      </c>
      <c r="F98" s="196">
        <f t="shared" si="45"/>
        <v>4.3548355210037293E-6</v>
      </c>
      <c r="G98" s="20"/>
      <c r="H98" s="20"/>
    </row>
    <row r="99" spans="2:8">
      <c r="B99" s="199"/>
      <c r="C99" s="199"/>
      <c r="D99" s="195">
        <f t="shared" si="47"/>
        <v>-9.57</v>
      </c>
      <c r="E99" s="120">
        <f t="shared" si="46"/>
        <v>1.5862075890678498E-8</v>
      </c>
      <c r="F99" s="196">
        <f t="shared" si="45"/>
        <v>1.1812654037698196E-8</v>
      </c>
      <c r="G99" s="20"/>
      <c r="H99" s="20"/>
    </row>
    <row r="100" spans="2:8">
      <c r="B100" s="199"/>
      <c r="C100" s="199"/>
      <c r="D100" s="195">
        <f t="shared" si="47"/>
        <v>-8.3000000000000007</v>
      </c>
      <c r="E100" s="120">
        <f t="shared" si="46"/>
        <v>2.9416382778178875E-7</v>
      </c>
      <c r="F100" s="196">
        <f t="shared" si="45"/>
        <v>2.1906688329699242E-7</v>
      </c>
      <c r="G100" s="20"/>
      <c r="H100" s="20"/>
    </row>
    <row r="101" spans="2:8">
      <c r="B101" s="199"/>
      <c r="C101" s="199"/>
      <c r="D101" s="195">
        <f t="shared" si="47"/>
        <v>-10.32</v>
      </c>
      <c r="E101" s="120">
        <f t="shared" si="46"/>
        <v>3.0415027846734239E-9</v>
      </c>
      <c r="F101" s="196">
        <f t="shared" si="45"/>
        <v>2.2650389770960806E-9</v>
      </c>
      <c r="G101" s="20"/>
      <c r="H101" s="20"/>
    </row>
    <row r="102" spans="2:8">
      <c r="B102" s="199"/>
      <c r="C102" s="199"/>
      <c r="D102" s="195">
        <f t="shared" si="47"/>
        <v>-9.74</v>
      </c>
      <c r="E102" s="120">
        <f t="shared" si="46"/>
        <v>1.1897204213592036E-8</v>
      </c>
      <c r="F102" s="196">
        <f t="shared" si="45"/>
        <v>8.8599725760734889E-9</v>
      </c>
      <c r="G102" s="20"/>
      <c r="H102" s="20"/>
    </row>
    <row r="103" spans="2:8" ht="18">
      <c r="B103" s="199"/>
      <c r="C103" s="199"/>
      <c r="D103" s="194"/>
      <c r="E103" s="202" t="s">
        <v>47</v>
      </c>
      <c r="F103" s="203">
        <f>F73</f>
        <v>0.75062347405325791</v>
      </c>
      <c r="G103" s="20"/>
      <c r="H103" s="20"/>
    </row>
    <row r="104" spans="2:8" ht="18">
      <c r="B104" s="178"/>
      <c r="C104" s="178"/>
      <c r="D104" s="195"/>
      <c r="E104" s="176" t="s">
        <v>48</v>
      </c>
      <c r="F104" s="204">
        <f>F74</f>
        <v>0.24926044873304321</v>
      </c>
      <c r="G104" s="20"/>
      <c r="H104" s="20"/>
    </row>
    <row r="105" spans="2:8" ht="18">
      <c r="B105" s="178"/>
      <c r="C105" s="178"/>
      <c r="D105" s="180"/>
      <c r="E105" s="205" t="s">
        <v>1</v>
      </c>
      <c r="F105" s="206">
        <f>SUM(F75:F102)</f>
        <v>1.1607721369904645E-4</v>
      </c>
      <c r="G105" s="20"/>
      <c r="H105" s="20"/>
    </row>
  </sheetData>
  <mergeCells count="1">
    <mergeCell ref="F5:G5"/>
  </mergeCells>
  <pageMargins left="0.75" right="0.75" top="1" bottom="1" header="0.5" footer="0.5"/>
  <pageSetup paperSize="9" orientation="landscape" horizontalDpi="4294967292" verticalDpi="4294967292"/>
  <ignoredErrors>
    <ignoredError sqref="D8:D14 F7:F14 N29:O29 Q29:R29 T29:U29 W29:X29 Z29:AA29 AC29:AD29 AF29:AG29 AI29:AJ29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54"/>
  </sheetPr>
  <dimension ref="A1:AK68"/>
  <sheetViews>
    <sheetView workbookViewId="0"/>
  </sheetViews>
  <sheetFormatPr baseColWidth="10" defaultRowHeight="15" x14ac:dyDescent="0"/>
  <cols>
    <col min="1" max="1" width="10.83203125" style="20"/>
    <col min="2" max="4" width="10.83203125" style="20" customWidth="1"/>
    <col min="5" max="5" width="10.83203125" style="21" customWidth="1"/>
    <col min="6" max="13" width="10.83203125" style="20" customWidth="1"/>
    <col min="14" max="35" width="10.83203125" style="8" customWidth="1"/>
    <col min="36" max="37" width="10.83203125" style="20" customWidth="1"/>
    <col min="38" max="16384" width="10.83203125" style="20"/>
  </cols>
  <sheetData>
    <row r="1" spans="1:37" ht="23">
      <c r="A1" s="62" t="str">
        <f>'Fe Sheet'!A1</f>
        <v>Galactic Concordance Abundances v2.6.3</v>
      </c>
    </row>
    <row r="2" spans="1:37" ht="20">
      <c r="B2" s="212" t="s">
        <v>67</v>
      </c>
      <c r="C2" s="220">
        <f>'Fe Sheet'!C2+J53</f>
        <v>-0.67843724935926519</v>
      </c>
      <c r="D2" s="221"/>
    </row>
    <row r="3" spans="1:37" ht="20">
      <c r="B3" s="212" t="s">
        <v>68</v>
      </c>
      <c r="C3" s="220">
        <f>C2*('Fe Sheet'!C3/'Fe Sheet'!C2)</f>
        <v>0.3392186246796326</v>
      </c>
      <c r="D3" s="221"/>
    </row>
    <row r="4" spans="1:37" ht="18">
      <c r="A4" s="73" t="s">
        <v>79</v>
      </c>
    </row>
    <row r="5" spans="1:37">
      <c r="B5" s="312" t="s">
        <v>72</v>
      </c>
      <c r="C5" s="313"/>
      <c r="D5" s="312" t="s">
        <v>63</v>
      </c>
      <c r="E5" s="313"/>
      <c r="G5" s="21"/>
    </row>
    <row r="6" spans="1:37">
      <c r="B6" s="88" t="s">
        <v>73</v>
      </c>
      <c r="C6" s="89" t="s">
        <v>55</v>
      </c>
      <c r="D6" s="88" t="s">
        <v>74</v>
      </c>
      <c r="E6" s="89" t="s">
        <v>55</v>
      </c>
      <c r="F6" s="80" t="s">
        <v>53</v>
      </c>
      <c r="G6" s="81" t="s">
        <v>54</v>
      </c>
      <c r="H6" s="78" t="s">
        <v>57</v>
      </c>
      <c r="I6" s="79" t="s">
        <v>52</v>
      </c>
      <c r="J6" s="231" t="s">
        <v>47</v>
      </c>
      <c r="K6" s="232" t="s">
        <v>48</v>
      </c>
      <c r="L6" s="232" t="s">
        <v>1</v>
      </c>
    </row>
    <row r="7" spans="1:37">
      <c r="A7"/>
      <c r="B7" s="310">
        <f>10^C7</f>
        <v>3.1622776601683795</v>
      </c>
      <c r="C7" s="86">
        <v>0.5</v>
      </c>
      <c r="D7" s="66">
        <f>M15</f>
        <v>3.0689842522997317</v>
      </c>
      <c r="E7" s="86">
        <f>LOG(D7)</f>
        <v>0.48699465996754243</v>
      </c>
      <c r="F7" s="33">
        <f>M18</f>
        <v>2.8536006727933834</v>
      </c>
      <c r="G7" s="65">
        <f>LOG(F7)</f>
        <v>0.45539319872391248</v>
      </c>
      <c r="H7" s="63">
        <f>M20</f>
        <v>4.5791131524526474</v>
      </c>
      <c r="I7" s="64">
        <f>LOG(H7)</f>
        <v>0.66078137532036751</v>
      </c>
      <c r="J7" s="229">
        <f>O53</f>
        <v>0.64059994707864942</v>
      </c>
      <c r="K7" s="229">
        <f>O54</f>
        <v>0.31565336348132467</v>
      </c>
      <c r="L7" s="229">
        <f>1-(J7+K7)</f>
        <v>4.374668944002591E-2</v>
      </c>
    </row>
    <row r="8" spans="1:37">
      <c r="A8"/>
      <c r="B8" s="310">
        <f>10^C8</f>
        <v>1.9952623149688797</v>
      </c>
      <c r="C8" s="86">
        <v>0.3</v>
      </c>
      <c r="D8" s="66">
        <f>P15</f>
        <v>1.9777708628755821</v>
      </c>
      <c r="E8" s="86">
        <f>LOG(D8)</f>
        <v>0.29617597444361138</v>
      </c>
      <c r="F8" s="33">
        <f>P18</f>
        <v>1.8220084890285926</v>
      </c>
      <c r="G8" s="65">
        <f>LOG(F8)</f>
        <v>0.26055039608905733</v>
      </c>
      <c r="H8" s="63">
        <f>P20</f>
        <v>2.7681696410695733</v>
      </c>
      <c r="I8" s="64">
        <f>LOG(H8)</f>
        <v>0.44219270136380084</v>
      </c>
      <c r="J8" s="229">
        <f>R53</f>
        <v>0.67745920495846812</v>
      </c>
      <c r="K8" s="229">
        <f>R54</f>
        <v>0.29434875474125471</v>
      </c>
      <c r="L8" s="229">
        <f t="shared" ref="L8:L13" si="0">1-(J8+K8)</f>
        <v>2.819204030027711E-2</v>
      </c>
    </row>
    <row r="9" spans="1:37">
      <c r="A9"/>
      <c r="B9" s="310">
        <f t="shared" ref="B9:B14" si="1">10^C9</f>
        <v>1</v>
      </c>
      <c r="C9" s="86">
        <v>0</v>
      </c>
      <c r="D9" s="66">
        <f>S15</f>
        <v>1.0000054291348428</v>
      </c>
      <c r="E9" s="86">
        <f t="shared" ref="E9:E14" si="2">LOG(D9)</f>
        <v>2.3578369032373643E-6</v>
      </c>
      <c r="F9" s="33">
        <f>S18</f>
        <v>1</v>
      </c>
      <c r="G9" s="65">
        <f t="shared" ref="G9:G14" si="3">LOG(F9)</f>
        <v>0</v>
      </c>
      <c r="H9" s="63">
        <f>S20</f>
        <v>1</v>
      </c>
      <c r="I9" s="64">
        <f t="shared" ref="I9:I14" si="4">LOG(H9)</f>
        <v>0</v>
      </c>
      <c r="J9" s="229">
        <f>U53</f>
        <v>0.71015651747140784</v>
      </c>
      <c r="K9" s="229">
        <f>U54</f>
        <v>0.27558895290240742</v>
      </c>
      <c r="L9" s="229">
        <f t="shared" si="0"/>
        <v>1.4254529626184675E-2</v>
      </c>
    </row>
    <row r="10" spans="1:37">
      <c r="A10"/>
      <c r="B10" s="310">
        <f t="shared" si="1"/>
        <v>0.63095734448019325</v>
      </c>
      <c r="C10" s="86">
        <v>-0.2</v>
      </c>
      <c r="D10" s="66">
        <f>V15</f>
        <v>0.64068893343298849</v>
      </c>
      <c r="E10" s="86">
        <f t="shared" si="2"/>
        <v>-0.19335277747605667</v>
      </c>
      <c r="F10" s="33">
        <f>V18</f>
        <v>0.67034710158871802</v>
      </c>
      <c r="G10" s="65">
        <f t="shared" si="3"/>
        <v>-0.17370026405937147</v>
      </c>
      <c r="H10" s="63">
        <f>V20</f>
        <v>0.50722992277387779</v>
      </c>
      <c r="I10" s="64">
        <f t="shared" si="4"/>
        <v>-0.29479513424253395</v>
      </c>
      <c r="J10" s="229">
        <f>X53</f>
        <v>0.72355056882867641</v>
      </c>
      <c r="K10" s="229">
        <f>X54</f>
        <v>0.26731676137103055</v>
      </c>
      <c r="L10" s="229">
        <f t="shared" si="0"/>
        <v>9.1326698002930362E-3</v>
      </c>
    </row>
    <row r="11" spans="1:37">
      <c r="A11"/>
      <c r="B11" s="310">
        <f t="shared" si="1"/>
        <v>0.50118723362727224</v>
      </c>
      <c r="C11" s="86">
        <v>-0.3</v>
      </c>
      <c r="D11" s="66">
        <f>Y15</f>
        <v>0.51451044574345162</v>
      </c>
      <c r="E11" s="86">
        <f t="shared" si="2"/>
        <v>-0.28860580363684635</v>
      </c>
      <c r="F11" s="33">
        <f>Y18</f>
        <v>0.54884486324932102</v>
      </c>
      <c r="G11" s="65">
        <f t="shared" si="3"/>
        <v>-0.26055039608905739</v>
      </c>
      <c r="H11" s="63">
        <f>Y20</f>
        <v>0.36124953657595099</v>
      </c>
      <c r="I11" s="64">
        <f t="shared" si="4"/>
        <v>-0.4421927013638009</v>
      </c>
      <c r="J11" s="229">
        <f>AA53</f>
        <v>0.728514150099137</v>
      </c>
      <c r="K11" s="229">
        <f>AA54</f>
        <v>0.26415178532665662</v>
      </c>
      <c r="L11" s="229">
        <f t="shared" si="0"/>
        <v>7.3340645742063781E-3</v>
      </c>
    </row>
    <row r="12" spans="1:37">
      <c r="A12"/>
      <c r="B12" s="311">
        <f t="shared" si="1"/>
        <v>0.31622776601683794</v>
      </c>
      <c r="C12" s="71">
        <v>-0.5</v>
      </c>
      <c r="D12" s="85">
        <f>AB15</f>
        <v>0.3339940408908193</v>
      </c>
      <c r="E12" s="71">
        <f t="shared" si="2"/>
        <v>-0.47626128178520699</v>
      </c>
      <c r="F12" s="59">
        <f>AB18</f>
        <v>0.36791656330103872</v>
      </c>
      <c r="G12" s="84">
        <f t="shared" si="3"/>
        <v>-0.43425066014842878</v>
      </c>
      <c r="H12" s="82">
        <f>AB20</f>
        <v>0.18323657453951883</v>
      </c>
      <c r="I12" s="83">
        <f t="shared" si="4"/>
        <v>-0.73698783560633463</v>
      </c>
      <c r="J12" s="229">
        <f>AD53</f>
        <v>0.73592099766445529</v>
      </c>
      <c r="K12" s="229">
        <f>AD54</f>
        <v>0.2593181002322768</v>
      </c>
      <c r="L12" s="229">
        <f t="shared" si="0"/>
        <v>4.760902103267961E-3</v>
      </c>
    </row>
    <row r="13" spans="1:37">
      <c r="A13"/>
      <c r="B13" s="310">
        <f t="shared" si="1"/>
        <v>0.1</v>
      </c>
      <c r="C13" s="86">
        <v>-1</v>
      </c>
      <c r="D13" s="66">
        <f>AE15</f>
        <v>0.10928660202720522</v>
      </c>
      <c r="E13" s="86">
        <f t="shared" si="2"/>
        <v>-0.96143307704671133</v>
      </c>
      <c r="F13" s="33">
        <f>AE18</f>
        <v>0.12280430809653614</v>
      </c>
      <c r="G13" s="65">
        <f t="shared" si="3"/>
        <v>-0.91078639744782497</v>
      </c>
      <c r="H13" s="63">
        <f>AE20</f>
        <v>4.7691090090946485E-2</v>
      </c>
      <c r="I13" s="64">
        <f t="shared" si="4"/>
        <v>-1.321562750640735</v>
      </c>
      <c r="J13" s="229">
        <f>AG53</f>
        <v>0.74592442117911717</v>
      </c>
      <c r="K13" s="229">
        <f>AG54</f>
        <v>0.25251775817215988</v>
      </c>
      <c r="L13" s="229">
        <f t="shared" si="0"/>
        <v>1.5578206487230073E-3</v>
      </c>
    </row>
    <row r="14" spans="1:37">
      <c r="A14"/>
      <c r="B14" s="310">
        <f t="shared" si="1"/>
        <v>3.1622776601683784E-2</v>
      </c>
      <c r="C14" s="87">
        <v>-1.5</v>
      </c>
      <c r="D14" s="70">
        <f>AH15</f>
        <v>3.4598418192740274E-2</v>
      </c>
      <c r="E14" s="87">
        <f t="shared" si="2"/>
        <v>-1.4609437562901109</v>
      </c>
      <c r="F14" s="34">
        <f>AH18</f>
        <v>3.8834132006611087E-2</v>
      </c>
      <c r="G14" s="69">
        <f t="shared" si="3"/>
        <v>-1.4107863974478252</v>
      </c>
      <c r="H14" s="67">
        <f>AH20</f>
        <v>1.5081246878367762E-2</v>
      </c>
      <c r="I14" s="68">
        <f t="shared" si="4"/>
        <v>-1.821562750640735</v>
      </c>
      <c r="J14" s="230">
        <f>AJ53</f>
        <v>0.74937463562281825</v>
      </c>
      <c r="K14" s="230">
        <f>AJ54</f>
        <v>0.25013218287758343</v>
      </c>
      <c r="L14" s="230">
        <f>1-(J14+K14)</f>
        <v>4.9318149959831636E-4</v>
      </c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 s="8"/>
      <c r="AK14" s="8"/>
    </row>
    <row r="15" spans="1:37">
      <c r="A15" s="60" t="s">
        <v>61</v>
      </c>
      <c r="B15" s="90">
        <f>C2</f>
        <v>-0.67843724935926519</v>
      </c>
      <c r="C15" s="91">
        <f>C3</f>
        <v>0.3392186246796326</v>
      </c>
      <c r="D15" s="90">
        <f>C2</f>
        <v>-0.67843724935926519</v>
      </c>
      <c r="E15" s="91">
        <f>C3</f>
        <v>0.3392186246796326</v>
      </c>
      <c r="F15" s="76">
        <f>B15+H30</f>
        <v>-0.58922364680709016</v>
      </c>
      <c r="G15" s="77">
        <f>C15*(F15/B15)</f>
        <v>0.29461182340354508</v>
      </c>
      <c r="H15" s="74">
        <f>B15+H48</f>
        <v>-1</v>
      </c>
      <c r="I15" s="75">
        <f>C15*(H15/B15)</f>
        <v>0.5</v>
      </c>
      <c r="J15"/>
      <c r="L15" s="152" t="s">
        <v>71</v>
      </c>
      <c r="M15" s="153">
        <f>O55/$G$19</f>
        <v>3.0689842522997317</v>
      </c>
      <c r="N15" s="153"/>
      <c r="O15" s="153"/>
      <c r="P15" s="153">
        <f>R55/$G$19</f>
        <v>1.9777708628755821</v>
      </c>
      <c r="Q15" s="153"/>
      <c r="R15" s="153"/>
      <c r="S15" s="153">
        <f>U55/$G$19</f>
        <v>1.0000054291348428</v>
      </c>
      <c r="T15" s="153"/>
      <c r="U15" s="153"/>
      <c r="V15" s="153">
        <f>X55/$G$19</f>
        <v>0.64068893343298849</v>
      </c>
      <c r="W15" s="153"/>
      <c r="X15" s="153"/>
      <c r="Y15" s="153">
        <f>AA55/$G$19</f>
        <v>0.51451044574345162</v>
      </c>
      <c r="Z15" s="153"/>
      <c r="AA15" s="153"/>
      <c r="AB15" s="153">
        <f>AD55/$G$19</f>
        <v>0.3339940408908193</v>
      </c>
      <c r="AC15" s="153"/>
      <c r="AD15" s="153"/>
      <c r="AE15" s="153">
        <f>AG55/$G$19</f>
        <v>0.10928660202720522</v>
      </c>
      <c r="AF15" s="153"/>
      <c r="AG15" s="153"/>
      <c r="AH15" s="153">
        <f>AJ55/$G$19</f>
        <v>3.4598418192740274E-2</v>
      </c>
      <c r="AI15" s="154"/>
      <c r="AJ15" s="154"/>
    </row>
    <row r="16" spans="1:37" ht="20">
      <c r="C16" s="72" t="s">
        <v>62</v>
      </c>
      <c r="K16" s="19" t="s">
        <v>38</v>
      </c>
      <c r="L16" s="124" t="s">
        <v>73</v>
      </c>
      <c r="M16" s="125">
        <f>B7</f>
        <v>3.1622776601683795</v>
      </c>
      <c r="N16" s="126"/>
      <c r="O16" s="127"/>
      <c r="P16" s="125">
        <f>B8</f>
        <v>1.9952623149688797</v>
      </c>
      <c r="Q16" s="126"/>
      <c r="R16" s="127"/>
      <c r="S16" s="125">
        <f>B9</f>
        <v>1</v>
      </c>
      <c r="T16" s="126"/>
      <c r="U16" s="127"/>
      <c r="V16" s="125">
        <f>B10</f>
        <v>0.63095734448019325</v>
      </c>
      <c r="W16" s="126"/>
      <c r="X16" s="127"/>
      <c r="Y16" s="125">
        <f>B11</f>
        <v>0.50118723362727224</v>
      </c>
      <c r="Z16" s="126"/>
      <c r="AA16" s="127"/>
      <c r="AB16" s="125">
        <f>B12</f>
        <v>0.31622776601683794</v>
      </c>
      <c r="AC16" s="126"/>
      <c r="AD16" s="127"/>
      <c r="AE16" s="125">
        <f>B13</f>
        <v>0.1</v>
      </c>
      <c r="AF16" s="126"/>
      <c r="AG16" s="127"/>
      <c r="AH16" s="125">
        <f>B14</f>
        <v>3.1622776601683784E-2</v>
      </c>
      <c r="AI16" s="126"/>
      <c r="AJ16" s="127"/>
    </row>
    <row r="17" spans="2:37" ht="18">
      <c r="C17" s="32"/>
      <c r="F17" s="210" t="s">
        <v>47</v>
      </c>
      <c r="G17" s="211">
        <f>G23</f>
        <v>0.71015657322469128</v>
      </c>
      <c r="K17" s="21"/>
      <c r="L17" s="128" t="s">
        <v>69</v>
      </c>
      <c r="M17" s="129">
        <f>LOG(M16)</f>
        <v>0.5</v>
      </c>
      <c r="N17" s="130"/>
      <c r="O17" s="131"/>
      <c r="P17" s="129">
        <f>LOG(P16)</f>
        <v>0.30000000000000004</v>
      </c>
      <c r="Q17" s="132"/>
      <c r="R17" s="133"/>
      <c r="S17" s="129">
        <f>LOG(S16)</f>
        <v>0</v>
      </c>
      <c r="T17" s="132"/>
      <c r="U17" s="133"/>
      <c r="V17" s="129">
        <f>LOG(V16)</f>
        <v>-0.2</v>
      </c>
      <c r="W17" s="130"/>
      <c r="X17" s="131"/>
      <c r="Y17" s="129">
        <f>LOG(Y16)</f>
        <v>-0.30000000000000004</v>
      </c>
      <c r="Z17" s="130"/>
      <c r="AA17" s="131"/>
      <c r="AB17" s="129">
        <f>LOG(AB16)</f>
        <v>-0.5</v>
      </c>
      <c r="AC17" s="130"/>
      <c r="AD17" s="131"/>
      <c r="AE17" s="129">
        <f>LOG(AE16)</f>
        <v>-1</v>
      </c>
      <c r="AF17" s="130"/>
      <c r="AG17" s="131"/>
      <c r="AH17" s="129">
        <f>LOG(AH16)</f>
        <v>-1.5000000000000002</v>
      </c>
      <c r="AI17" s="134"/>
      <c r="AJ17" s="135"/>
    </row>
    <row r="18" spans="2:37" ht="20">
      <c r="F18" s="210" t="s">
        <v>48</v>
      </c>
      <c r="G18" s="211">
        <f>G24</f>
        <v>0.27558897453846737</v>
      </c>
      <c r="H18" s="60" t="s">
        <v>84</v>
      </c>
      <c r="I18" s="217">
        <f>10^(E24+1.0783) -1</f>
        <v>0.17030753166883605</v>
      </c>
      <c r="K18" s="19" t="s">
        <v>37</v>
      </c>
      <c r="L18" s="38" t="s">
        <v>53</v>
      </c>
      <c r="M18" s="304">
        <f>10^M19</f>
        <v>2.8536006727933834</v>
      </c>
      <c r="N18" s="16"/>
      <c r="O18" s="17"/>
      <c r="P18" s="15">
        <f t="shared" ref="P18:AB18" si="5">10^P19</f>
        <v>1.8220084890285926</v>
      </c>
      <c r="Q18" s="16"/>
      <c r="R18" s="17"/>
      <c r="S18" s="15">
        <f t="shared" si="5"/>
        <v>1</v>
      </c>
      <c r="T18" s="16"/>
      <c r="U18" s="17"/>
      <c r="V18" s="15">
        <f t="shared" si="5"/>
        <v>0.67034710158871802</v>
      </c>
      <c r="W18" s="16"/>
      <c r="X18" s="17"/>
      <c r="Y18" s="15">
        <f t="shared" si="5"/>
        <v>0.54884486324932102</v>
      </c>
      <c r="Z18" s="16"/>
      <c r="AA18" s="17"/>
      <c r="AB18" s="15">
        <f t="shared" si="5"/>
        <v>0.36791656330103872</v>
      </c>
      <c r="AC18" s="16"/>
      <c r="AD18" s="17"/>
      <c r="AE18" s="15">
        <f>10^AE19</f>
        <v>0.12280430809653614</v>
      </c>
      <c r="AF18" s="16"/>
      <c r="AG18" s="17"/>
      <c r="AH18" s="15">
        <f>10^AH19</f>
        <v>3.8834132006611087E-2</v>
      </c>
      <c r="AI18" s="136"/>
      <c r="AJ18" s="40"/>
    </row>
    <row r="19" spans="2:37" ht="18">
      <c r="F19" s="210" t="s">
        <v>1</v>
      </c>
      <c r="G19" s="211">
        <f>SUM(G25:G52)</f>
        <v>1.4254452236841769E-2</v>
      </c>
      <c r="H19" s="218" t="s">
        <v>88</v>
      </c>
      <c r="I19" s="21"/>
      <c r="J19" s="21"/>
      <c r="L19" s="39" t="s">
        <v>54</v>
      </c>
      <c r="M19" s="11">
        <f>IF(M$17&gt;$C$3,($H30/$C$2)*$C$3,IF(M$17&gt;$C$2,($H30/$C$2)*M$17,$H30))+M$17</f>
        <v>0.45539319872391248</v>
      </c>
      <c r="N19" s="12"/>
      <c r="O19" s="13"/>
      <c r="P19" s="11">
        <f>IF(P$17&gt;$C$3,($H30/$C$2)*$C$3,IF(P$17&gt;$C$2,($H30/$C$2)*P$17,$H30))+P$17</f>
        <v>0.26055039608905728</v>
      </c>
      <c r="Q19" s="12"/>
      <c r="R19" s="13"/>
      <c r="S19" s="11">
        <f>IF(S$17&gt;$C$3,($H30/$C$2)*$C$3,IF(S$17&gt;$C$2,($H30/$C$2)*S$17,$H30))+S$17</f>
        <v>0</v>
      </c>
      <c r="T19" s="12"/>
      <c r="U19" s="13"/>
      <c r="V19" s="11">
        <f>IF(V$17&gt;$C$3,($H30/$C$2)*$C$3,IF(V$17&gt;$C$2,($H30/$C$2)*V$17,$H30))+V$17</f>
        <v>-0.1737002640593715</v>
      </c>
      <c r="W19" s="12"/>
      <c r="X19" s="13"/>
      <c r="Y19" s="11">
        <f>IF(Y$17&gt;$C$3,($H30/$C$2)*$C$3,IF(Y$17&gt;$C$2,($H30/$C$2)*Y$17,$H30))+Y$17</f>
        <v>-0.26055039608905728</v>
      </c>
      <c r="Z19" s="12"/>
      <c r="AA19" s="13"/>
      <c r="AB19" s="11">
        <f>IF(AB$17&gt;$C$3,($H30/$C$2)*$C$3,IF(AB$17&gt;$C$2,($H30/$C$2)*AB$17,$H30))+AB$17</f>
        <v>-0.43425066014842872</v>
      </c>
      <c r="AC19" s="12"/>
      <c r="AD19" s="13"/>
      <c r="AE19" s="11">
        <f>IF(AE$17&gt;$C$3,($H30/$C$2)*$C$3,IF(AE$17&gt;$C$2,($H30/$C$2)*AE$17,$H30))+AE$17</f>
        <v>-0.91078639744782497</v>
      </c>
      <c r="AF19" s="12"/>
      <c r="AG19" s="13"/>
      <c r="AH19" s="11">
        <f>IF(AH$17&gt;$C$3,($H30/$C$2)*$C$3,IF(AH$17&gt;$C$2,($H30/$C$2)*AH$17,$H30))+AH$17</f>
        <v>-1.4107863974478252</v>
      </c>
      <c r="AI19" s="137"/>
      <c r="AJ19" s="42"/>
    </row>
    <row r="20" spans="2:37" ht="20">
      <c r="E20"/>
      <c r="F20"/>
      <c r="G20"/>
      <c r="I20" s="21"/>
      <c r="J20" s="21"/>
      <c r="K20" s="19" t="s">
        <v>37</v>
      </c>
      <c r="L20" s="121" t="s">
        <v>33</v>
      </c>
      <c r="M20" s="122">
        <f>10^M21</f>
        <v>4.5791131524526474</v>
      </c>
      <c r="N20" s="43"/>
      <c r="O20" s="44"/>
      <c r="P20" s="122">
        <f>10^P21</f>
        <v>2.7681696410695733</v>
      </c>
      <c r="Q20" s="43"/>
      <c r="R20" s="44"/>
      <c r="S20" s="122">
        <f>10^S21</f>
        <v>1</v>
      </c>
      <c r="T20" s="43"/>
      <c r="U20" s="44"/>
      <c r="V20" s="122">
        <f>10^V21</f>
        <v>0.50722992277387779</v>
      </c>
      <c r="W20" s="43"/>
      <c r="X20" s="44"/>
      <c r="Y20" s="122">
        <f>10^Y21</f>
        <v>0.36124953657595099</v>
      </c>
      <c r="Z20" s="43"/>
      <c r="AA20" s="44"/>
      <c r="AB20" s="122">
        <f>10^AB21</f>
        <v>0.18323657453951883</v>
      </c>
      <c r="AC20" s="43"/>
      <c r="AD20" s="44"/>
      <c r="AE20" s="122">
        <f>10^AE21</f>
        <v>4.7691090090946485E-2</v>
      </c>
      <c r="AF20" s="43"/>
      <c r="AG20" s="44"/>
      <c r="AH20" s="122">
        <f>10^AH21</f>
        <v>1.5081246878367762E-2</v>
      </c>
      <c r="AI20" s="43"/>
      <c r="AJ20" s="44"/>
    </row>
    <row r="21" spans="2:37" ht="20">
      <c r="B21" s="61" t="s">
        <v>76</v>
      </c>
      <c r="E21" s="276" t="s">
        <v>42</v>
      </c>
      <c r="F21" s="52" t="s">
        <v>43</v>
      </c>
      <c r="G21" s="21"/>
      <c r="H21" s="149"/>
      <c r="I21" s="150"/>
      <c r="J21" s="151"/>
      <c r="K21" s="21"/>
      <c r="L21" s="123" t="s">
        <v>70</v>
      </c>
      <c r="M21" s="93">
        <f>IF(M$17&gt;$C$3,($H48/$C$2)*$C$3,IF(M$17&gt;$C$2,($H48/$C$2)*M$17,$H48))+M$17</f>
        <v>0.6607813753203674</v>
      </c>
      <c r="N21" s="45"/>
      <c r="O21" s="97"/>
      <c r="P21" s="93">
        <f>IF(P$17&gt;$C$3,($H48/$C$2)*$C$3,IF(P$17&gt;$C$2,($H48/$C$2)*P$17,$H48))+P$17</f>
        <v>0.44219270136380084</v>
      </c>
      <c r="Q21" s="45"/>
      <c r="R21" s="97"/>
      <c r="S21" s="93">
        <f>IF(S$17&gt;$C$3,($H48/$C$2)*$C$3,IF(S$17&gt;$C$2,($H48/$C$2)*S$17,$H48))+S$17</f>
        <v>0</v>
      </c>
      <c r="T21" s="45"/>
      <c r="U21" s="97"/>
      <c r="V21" s="93">
        <f>IF(V$17&gt;$C$3,($H48/$C$2)*$C$3,IF(V$17&gt;$C$2,($H48/$C$2)*V$17,$H48))+V$17</f>
        <v>-0.2947951342425339</v>
      </c>
      <c r="W21" s="45"/>
      <c r="X21" s="97"/>
      <c r="Y21" s="93">
        <f>IF(Y$17&gt;$C$3,($H48/$C$2)*$C$3,IF(Y$17&gt;$C$2,($H48/$C$2)*Y$17,$H48))+Y$17</f>
        <v>-0.44219270136380084</v>
      </c>
      <c r="Z21" s="45"/>
      <c r="AA21" s="97"/>
      <c r="AB21" s="93">
        <f>IF(AB$17&gt;$C$3,($H48/$C$2)*$C$3,IF(AB$17&gt;$C$2,($H48/$C$2)*AB$17,$H48))+AB$17</f>
        <v>-0.73698783560633463</v>
      </c>
      <c r="AC21" s="45"/>
      <c r="AD21" s="97"/>
      <c r="AE21" s="93">
        <f>IF(AE$17&gt;$C$3,($H48/$C$2)*$C$3,IF(AE$17&gt;$C$2,($H48/$C$2)*AE$17,$H48))+AE$17</f>
        <v>-1.3215627506407348</v>
      </c>
      <c r="AF21" s="45"/>
      <c r="AG21" s="97"/>
      <c r="AH21" s="93">
        <f>IF(AH$17&gt;$C$3,($H48/$C$2)*$C$3,IF(AH$17&gt;$C$2,($H48/$C$2)*AH$17,$H48))+AH$17</f>
        <v>-1.821562750640735</v>
      </c>
      <c r="AI21" s="45"/>
      <c r="AJ21" s="97"/>
    </row>
    <row r="22" spans="2:37" s="104" customFormat="1" ht="47">
      <c r="B22" s="105" t="s">
        <v>0</v>
      </c>
      <c r="C22" s="106" t="s">
        <v>1</v>
      </c>
      <c r="D22" s="107" t="s">
        <v>41</v>
      </c>
      <c r="E22" s="282" t="str">
        <f>'Fe Sheet'!E22</f>
        <v>GC Absolute</v>
      </c>
      <c r="F22" s="108" t="s">
        <v>45</v>
      </c>
      <c r="G22" s="109" t="s">
        <v>46</v>
      </c>
      <c r="H22" s="254" t="s">
        <v>39</v>
      </c>
      <c r="I22" s="252" t="s">
        <v>3</v>
      </c>
      <c r="J22" s="251" t="s">
        <v>2</v>
      </c>
      <c r="K22"/>
      <c r="L22" s="111"/>
      <c r="M22" s="112" t="s">
        <v>56</v>
      </c>
      <c r="N22" s="113" t="s">
        <v>40</v>
      </c>
      <c r="O22" s="114" t="s">
        <v>49</v>
      </c>
      <c r="P22" s="112" t="s">
        <v>56</v>
      </c>
      <c r="Q22" s="113" t="s">
        <v>40</v>
      </c>
      <c r="R22" s="114" t="s">
        <v>49</v>
      </c>
      <c r="S22" s="112" t="s">
        <v>56</v>
      </c>
      <c r="T22" s="113" t="s">
        <v>40</v>
      </c>
      <c r="U22" s="114" t="s">
        <v>49</v>
      </c>
      <c r="V22" s="112" t="s">
        <v>56</v>
      </c>
      <c r="W22" s="113" t="s">
        <v>40</v>
      </c>
      <c r="X22" s="114" t="s">
        <v>49</v>
      </c>
      <c r="Y22" s="112" t="s">
        <v>56</v>
      </c>
      <c r="Z22" s="113" t="s">
        <v>40</v>
      </c>
      <c r="AA22" s="114" t="s">
        <v>49</v>
      </c>
      <c r="AB22" s="112" t="s">
        <v>56</v>
      </c>
      <c r="AC22" s="113" t="s">
        <v>40</v>
      </c>
      <c r="AD22" s="114" t="s">
        <v>49</v>
      </c>
      <c r="AE22" s="112" t="s">
        <v>56</v>
      </c>
      <c r="AF22" s="113" t="s">
        <v>40</v>
      </c>
      <c r="AG22" s="114" t="s">
        <v>49</v>
      </c>
      <c r="AH22" s="112" t="s">
        <v>56</v>
      </c>
      <c r="AI22" s="113" t="s">
        <v>40</v>
      </c>
      <c r="AJ22" s="114" t="s">
        <v>49</v>
      </c>
    </row>
    <row r="23" spans="2:37">
      <c r="B23" s="50" t="s">
        <v>4</v>
      </c>
      <c r="C23" s="55">
        <v>1</v>
      </c>
      <c r="D23" s="53">
        <v>1.0079400000000001</v>
      </c>
      <c r="E23" s="277">
        <f>'Fe Sheet'!E23</f>
        <v>0</v>
      </c>
      <c r="F23" s="57">
        <f>(10^E23)*$D23</f>
        <v>1.0079400000000001</v>
      </c>
      <c r="G23" s="57">
        <f>F23/(SUM($F$23:$F$52))</f>
        <v>0.71015657322469128</v>
      </c>
      <c r="H23" s="53" t="s">
        <v>36</v>
      </c>
      <c r="I23" s="103" t="str">
        <f>'Fe Sheet'!J23</f>
        <v>Const</v>
      </c>
      <c r="J23" s="102" t="str">
        <f>'Fe Sheet'!I23</f>
        <v>Const</v>
      </c>
      <c r="K23"/>
      <c r="L23" s="21"/>
      <c r="M23" s="5">
        <f>$E$23</f>
        <v>0</v>
      </c>
      <c r="N23" s="9">
        <f>(10^M23)*$D23</f>
        <v>1.0079400000000001</v>
      </c>
      <c r="O23" s="10">
        <f>N23/(SUM(N$23:N$52))</f>
        <v>0.64059994707864942</v>
      </c>
      <c r="P23" s="5">
        <f t="shared" ref="P23:AH23" si="6">$E$23</f>
        <v>0</v>
      </c>
      <c r="Q23" s="9">
        <f>(10^P23)*$D23</f>
        <v>1.0079400000000001</v>
      </c>
      <c r="R23" s="10">
        <f>Q23/(SUM(Q$23:Q$52))</f>
        <v>0.67745920495846812</v>
      </c>
      <c r="S23" s="5">
        <f t="shared" si="6"/>
        <v>0</v>
      </c>
      <c r="T23" s="9">
        <f>(10^S23)*$D23</f>
        <v>1.0079400000000001</v>
      </c>
      <c r="U23" s="10">
        <f>T23/(SUM(T$23:T$52))</f>
        <v>0.71015651747140784</v>
      </c>
      <c r="V23" s="5">
        <f t="shared" si="6"/>
        <v>0</v>
      </c>
      <c r="W23" s="9">
        <f>(10^V23)*$D23</f>
        <v>1.0079400000000001</v>
      </c>
      <c r="X23" s="10">
        <f>W23/(SUM(W$23:W$52))</f>
        <v>0.72355056882867641</v>
      </c>
      <c r="Y23" s="5">
        <f t="shared" si="6"/>
        <v>0</v>
      </c>
      <c r="Z23" s="9">
        <f>(10^Y23)*$D23</f>
        <v>1.0079400000000001</v>
      </c>
      <c r="AA23" s="10">
        <f>Z23/(SUM(Z$23:Z$52))</f>
        <v>0.728514150099137</v>
      </c>
      <c r="AB23" s="5">
        <f>$E$23</f>
        <v>0</v>
      </c>
      <c r="AC23" s="9">
        <f>(10^AB23)*$D23</f>
        <v>1.0079400000000001</v>
      </c>
      <c r="AD23" s="10">
        <f>AC23/(SUM(AC$23:AC$52))</f>
        <v>0.73592099766445529</v>
      </c>
      <c r="AE23" s="5">
        <f t="shared" si="6"/>
        <v>0</v>
      </c>
      <c r="AF23" s="9">
        <f>(10^AE23)*$D23</f>
        <v>1.0079400000000001</v>
      </c>
      <c r="AG23" s="10">
        <f>AF23/(SUM(AF$23:AF$52))</f>
        <v>0.74592442117911717</v>
      </c>
      <c r="AH23" s="5">
        <f t="shared" si="6"/>
        <v>0</v>
      </c>
      <c r="AI23" s="9">
        <f>(10^AH23)*$D23</f>
        <v>1.0079400000000001</v>
      </c>
      <c r="AJ23" s="10">
        <f>AI23/(SUM(AI$23:AI$52))</f>
        <v>0.74937463562281825</v>
      </c>
    </row>
    <row r="24" spans="2:37">
      <c r="B24" s="50" t="s">
        <v>24</v>
      </c>
      <c r="C24" s="55">
        <v>2</v>
      </c>
      <c r="D24" s="53">
        <v>4.0026020000000004</v>
      </c>
      <c r="E24" s="277">
        <f>'Fe Sheet'!E24</f>
        <v>-1.01</v>
      </c>
      <c r="F24" s="57">
        <f t="shared" ref="F24:F52" si="7">(10^E24)*$D24</f>
        <v>0.39114916550721696</v>
      </c>
      <c r="G24" s="57">
        <f t="shared" ref="G24:G52" si="8">F24/(SUM($F$23:$F$52))</f>
        <v>0.27558897453846737</v>
      </c>
      <c r="H24" s="53" t="s">
        <v>35</v>
      </c>
      <c r="I24" s="103" t="str">
        <f>'Fe Sheet'!J24</f>
        <v>he</v>
      </c>
      <c r="J24" s="102" t="str">
        <f>'Fe Sheet'!I24</f>
        <v>he</v>
      </c>
      <c r="K24"/>
      <c r="L24" s="163" t="s">
        <v>78</v>
      </c>
      <c r="M24" s="165">
        <f>-1.0783+LOG(1+$I$18*M$18)</f>
        <v>-0.90628420465040505</v>
      </c>
      <c r="N24" s="166">
        <f t="shared" ref="N24:N52" si="9">(10^M24)*$D24</f>
        <v>0.49665887835033568</v>
      </c>
      <c r="O24" s="167">
        <f t="shared" ref="O24:O52" si="10">N24/(SUM(N$23:N$52))</f>
        <v>0.31565336348132467</v>
      </c>
      <c r="P24" s="165">
        <f>-1.0783+LOG(1+$I$18*P$18)</f>
        <v>-0.96092867283403172</v>
      </c>
      <c r="Q24" s="166">
        <f t="shared" ref="Q24:Q52" si="11">(10^P24)*$D24</f>
        <v>0.43793911379813449</v>
      </c>
      <c r="R24" s="167">
        <f t="shared" ref="R24:R52" si="12">Q24/(SUM(Q$23:Q$52))</f>
        <v>0.29434875474125471</v>
      </c>
      <c r="S24" s="165">
        <f>-1.0783+LOG(1+$I$18*S$18)</f>
        <v>-1.01</v>
      </c>
      <c r="T24" s="166">
        <f t="shared" ref="T24:T52" si="13">(10^S24)*$D24</f>
        <v>0.39114916550721696</v>
      </c>
      <c r="U24" s="167">
        <f t="shared" ref="U24:U52" si="14">T24/(SUM(T$23:T$52))</f>
        <v>0.27558895290240742</v>
      </c>
      <c r="V24" s="165">
        <f>-1.0783+LOG(1+$I$18*V$18)</f>
        <v>-1.0313504259835165</v>
      </c>
      <c r="W24" s="166">
        <f t="shared" ref="W24:W52" si="15">(10^V24)*$D24</f>
        <v>0.37238483122541066</v>
      </c>
      <c r="X24" s="167">
        <f t="shared" ref="X24:X52" si="16">W24/(SUM(W$23:W$52))</f>
        <v>0.26731676137103055</v>
      </c>
      <c r="Y24" s="165">
        <f>-1.0783+LOG(1+$I$18*Y$18)</f>
        <v>-1.0394921688490093</v>
      </c>
      <c r="Z24" s="166">
        <f t="shared" ref="Z24:Z52" si="17">(10^Y24)*$D24</f>
        <v>0.3654687427360454</v>
      </c>
      <c r="AA24" s="167">
        <f t="shared" ref="AA24:AA52" si="18">Z24/(SUM(Z$23:Z$52))</f>
        <v>0.26415178532665662</v>
      </c>
      <c r="AB24" s="165">
        <f>-1.0783+LOG(1+$I$18*AB$18)</f>
        <v>-1.0519060908779925</v>
      </c>
      <c r="AC24" s="166">
        <f t="shared" ref="AC24:AC52" si="19">(10^AB24)*$D24</f>
        <v>0.35517003425318289</v>
      </c>
      <c r="AD24" s="167">
        <f t="shared" ref="AD24:AD51" si="20">AC24/(SUM(AC$23:AC$52))</f>
        <v>0.2593181002322768</v>
      </c>
      <c r="AE24" s="165">
        <f>-1.0783+LOG(1+$I$18*AE$18)</f>
        <v>-1.0693106284766072</v>
      </c>
      <c r="AF24" s="166">
        <f t="shared" ref="AF24:AF52" si="21">(10^AE24)*$D24</f>
        <v>0.34121787937940279</v>
      </c>
      <c r="AG24" s="167">
        <f t="shared" ref="AG24:AG52" si="22">AF24/(SUM(AF$23:AF$52))</f>
        <v>0.25251775817215988</v>
      </c>
      <c r="AH24" s="165">
        <f>-1.0783+LOG(1+$I$18*AH$18)</f>
        <v>-1.0754371436694294</v>
      </c>
      <c r="AI24" s="166">
        <f t="shared" ref="AI24:AI52" si="23">(10^AH24)*$D24</f>
        <v>0.33643817180987401</v>
      </c>
      <c r="AJ24" s="167">
        <f t="shared" ref="AJ24:AJ52" si="24">AI24/(SUM(AI$23:AI$52))</f>
        <v>0.25013218287758343</v>
      </c>
      <c r="AK24" s="164"/>
    </row>
    <row r="25" spans="2:37">
      <c r="B25" s="50" t="s">
        <v>27</v>
      </c>
      <c r="C25" s="55">
        <v>3</v>
      </c>
      <c r="D25" s="53">
        <v>6.9409999999999998</v>
      </c>
      <c r="E25" s="277">
        <f>'Fe Sheet'!E25</f>
        <v>-8.7219999999999995</v>
      </c>
      <c r="F25" s="57">
        <f t="shared" si="7"/>
        <v>1.3165035799126567E-8</v>
      </c>
      <c r="G25" s="57">
        <f t="shared" si="8"/>
        <v>9.2755885365082327E-9</v>
      </c>
      <c r="H25" s="53" t="s">
        <v>36</v>
      </c>
      <c r="I25" s="103" t="str">
        <f>'Fe Sheet'!J25</f>
        <v>Const</v>
      </c>
      <c r="J25" s="102" t="str">
        <f>'Fe Sheet'!I25</f>
        <v>Const</v>
      </c>
      <c r="K25"/>
      <c r="L25" s="21"/>
      <c r="M25" s="5">
        <f>$E25</f>
        <v>-8.7219999999999995</v>
      </c>
      <c r="N25" s="9">
        <f t="shared" si="9"/>
        <v>1.3165035799126567E-8</v>
      </c>
      <c r="O25" s="10">
        <f t="shared" si="10"/>
        <v>8.3670865688523164E-9</v>
      </c>
      <c r="P25" s="5">
        <f t="shared" ref="P25:AH25" si="25">$E25</f>
        <v>-8.7219999999999995</v>
      </c>
      <c r="Q25" s="9">
        <f t="shared" si="11"/>
        <v>1.3165035799126567E-8</v>
      </c>
      <c r="R25" s="10">
        <f t="shared" si="12"/>
        <v>8.8485174571165487E-9</v>
      </c>
      <c r="S25" s="5">
        <f t="shared" si="25"/>
        <v>-8.7219999999999995</v>
      </c>
      <c r="T25" s="9">
        <f t="shared" si="13"/>
        <v>1.3165035799126567E-8</v>
      </c>
      <c r="U25" s="10">
        <f t="shared" si="14"/>
        <v>9.2755878082962633E-9</v>
      </c>
      <c r="V25" s="5">
        <f t="shared" si="25"/>
        <v>-8.7219999999999995</v>
      </c>
      <c r="W25" s="9">
        <f t="shared" si="15"/>
        <v>1.3165035799126567E-8</v>
      </c>
      <c r="X25" s="10">
        <f t="shared" si="16"/>
        <v>9.4505319176815243E-9</v>
      </c>
      <c r="Y25" s="5">
        <f t="shared" si="25"/>
        <v>-8.7219999999999995</v>
      </c>
      <c r="Z25" s="9">
        <f t="shared" si="17"/>
        <v>1.3165035799126567E-8</v>
      </c>
      <c r="AA25" s="10">
        <f t="shared" si="18"/>
        <v>9.5153628849191469E-9</v>
      </c>
      <c r="AB25" s="5">
        <f t="shared" si="25"/>
        <v>-8.7219999999999995</v>
      </c>
      <c r="AC25" s="9">
        <f t="shared" si="19"/>
        <v>1.3165035799126567E-8</v>
      </c>
      <c r="AD25" s="10">
        <f t="shared" si="20"/>
        <v>9.612106156697316E-9</v>
      </c>
      <c r="AE25" s="5">
        <f t="shared" si="25"/>
        <v>-8.7219999999999995</v>
      </c>
      <c r="AF25" s="9">
        <f t="shared" si="21"/>
        <v>1.3165035799126567E-8</v>
      </c>
      <c r="AG25" s="10">
        <f t="shared" si="22"/>
        <v>9.7427641608288597E-9</v>
      </c>
      <c r="AH25" s="5">
        <f t="shared" si="25"/>
        <v>-8.7219999999999995</v>
      </c>
      <c r="AI25" s="9">
        <f t="shared" si="23"/>
        <v>1.3165035799126567E-8</v>
      </c>
      <c r="AJ25" s="10">
        <f t="shared" si="24"/>
        <v>9.7878285462744104E-9</v>
      </c>
    </row>
    <row r="26" spans="2:37">
      <c r="B26" s="50" t="s">
        <v>28</v>
      </c>
      <c r="C26" s="55">
        <v>4</v>
      </c>
      <c r="D26" s="53">
        <v>9.0121819999999992</v>
      </c>
      <c r="E26" s="277">
        <f>'Fe Sheet'!E26</f>
        <v>-10.68</v>
      </c>
      <c r="F26" s="57">
        <f t="shared" si="7"/>
        <v>1.8829116983152398E-10</v>
      </c>
      <c r="G26" s="57">
        <f t="shared" si="8"/>
        <v>1.3266286875808426E-10</v>
      </c>
      <c r="H26" s="53" t="s">
        <v>36</v>
      </c>
      <c r="I26" s="103" t="str">
        <f>'Fe Sheet'!J26</f>
        <v>Const</v>
      </c>
      <c r="J26" s="102" t="str">
        <f>'Fe Sheet'!I26</f>
        <v>Const</v>
      </c>
      <c r="K26"/>
      <c r="L26" s="21"/>
      <c r="M26" s="5">
        <f>$E26</f>
        <v>-10.68</v>
      </c>
      <c r="N26" s="9">
        <f t="shared" si="9"/>
        <v>1.8829116983152398E-10</v>
      </c>
      <c r="O26" s="10">
        <f t="shared" si="10"/>
        <v>1.1966914045424453E-10</v>
      </c>
      <c r="P26" s="5">
        <f t="shared" ref="M26:AH27" si="26">$E26</f>
        <v>-10.68</v>
      </c>
      <c r="Q26" s="9">
        <f t="shared" si="11"/>
        <v>1.8829116983152398E-10</v>
      </c>
      <c r="R26" s="10">
        <f t="shared" si="12"/>
        <v>1.2655474156672432E-10</v>
      </c>
      <c r="S26" s="5">
        <f t="shared" si="26"/>
        <v>-10.68</v>
      </c>
      <c r="T26" s="9">
        <f t="shared" si="13"/>
        <v>1.8829116983152398E-10</v>
      </c>
      <c r="U26" s="10">
        <f t="shared" si="14"/>
        <v>1.3266285834292961E-10</v>
      </c>
      <c r="V26" s="5">
        <f t="shared" si="26"/>
        <v>-10.68</v>
      </c>
      <c r="W26" s="9">
        <f t="shared" si="15"/>
        <v>1.8829116983152398E-10</v>
      </c>
      <c r="X26" s="10">
        <f t="shared" si="16"/>
        <v>1.3516497315020346E-10</v>
      </c>
      <c r="Y26" s="5">
        <f t="shared" si="26"/>
        <v>-10.68</v>
      </c>
      <c r="Z26" s="9">
        <f t="shared" si="17"/>
        <v>1.8829116983152398E-10</v>
      </c>
      <c r="AA26" s="10">
        <f t="shared" si="18"/>
        <v>1.3609220941820442E-10</v>
      </c>
      <c r="AB26" s="5">
        <f t="shared" si="26"/>
        <v>-10.68</v>
      </c>
      <c r="AC26" s="9">
        <f t="shared" si="19"/>
        <v>1.8829116983152398E-10</v>
      </c>
      <c r="AD26" s="10">
        <f t="shared" si="20"/>
        <v>1.3747586716850457E-10</v>
      </c>
      <c r="AE26" s="5">
        <f t="shared" si="26"/>
        <v>-10.68</v>
      </c>
      <c r="AF26" s="9">
        <f t="shared" si="21"/>
        <v>1.8829116983152398E-10</v>
      </c>
      <c r="AG26" s="10">
        <f t="shared" si="22"/>
        <v>1.3934458585800579E-10</v>
      </c>
      <c r="AH26" s="5">
        <f t="shared" si="26"/>
        <v>-10.68</v>
      </c>
      <c r="AI26" s="9">
        <f t="shared" si="23"/>
        <v>1.8829116983152398E-10</v>
      </c>
      <c r="AJ26" s="10">
        <f t="shared" si="24"/>
        <v>1.3998911322449002E-10</v>
      </c>
    </row>
    <row r="27" spans="2:37">
      <c r="B27" s="50" t="s">
        <v>34</v>
      </c>
      <c r="C27" s="55">
        <v>5</v>
      </c>
      <c r="D27" s="53">
        <v>10.811</v>
      </c>
      <c r="E27" s="277">
        <f>'Fe Sheet'!E27</f>
        <v>-9.1929999999999996</v>
      </c>
      <c r="F27" s="57">
        <f t="shared" si="7"/>
        <v>6.9321167324621858E-9</v>
      </c>
      <c r="G27" s="57">
        <f t="shared" si="8"/>
        <v>4.8841084428824036E-9</v>
      </c>
      <c r="H27" s="53" t="s">
        <v>36</v>
      </c>
      <c r="I27" s="103" t="str">
        <f>'Fe Sheet'!J27</f>
        <v>Const</v>
      </c>
      <c r="J27" s="102" t="str">
        <f>'Fe Sheet'!I27</f>
        <v>Const</v>
      </c>
      <c r="K27"/>
      <c r="L27" s="21"/>
      <c r="M27" s="5">
        <f t="shared" si="26"/>
        <v>-9.1929999999999996</v>
      </c>
      <c r="N27" s="9">
        <f t="shared" si="9"/>
        <v>6.9321167324621858E-9</v>
      </c>
      <c r="O27" s="10">
        <f t="shared" si="10"/>
        <v>4.4057320990915097E-9</v>
      </c>
      <c r="P27" s="5">
        <f t="shared" si="26"/>
        <v>-9.1929999999999996</v>
      </c>
      <c r="Q27" s="9">
        <f t="shared" si="11"/>
        <v>6.9321167324621858E-9</v>
      </c>
      <c r="R27" s="10">
        <f t="shared" si="12"/>
        <v>4.6592319882662917E-9</v>
      </c>
      <c r="S27" s="5">
        <f t="shared" si="26"/>
        <v>-9.1929999999999996</v>
      </c>
      <c r="T27" s="9">
        <f t="shared" si="13"/>
        <v>6.9321167324621858E-9</v>
      </c>
      <c r="U27" s="10">
        <f t="shared" si="14"/>
        <v>4.8841080594386782E-9</v>
      </c>
      <c r="V27" s="5">
        <f t="shared" si="26"/>
        <v>-9.1929999999999996</v>
      </c>
      <c r="W27" s="9">
        <f t="shared" si="15"/>
        <v>6.9321167324621858E-9</v>
      </c>
      <c r="X27" s="10">
        <f t="shared" si="16"/>
        <v>4.976225772327519E-9</v>
      </c>
      <c r="Y27" s="5">
        <f t="shared" si="26"/>
        <v>-9.1929999999999996</v>
      </c>
      <c r="Z27" s="9">
        <f t="shared" si="17"/>
        <v>6.9321167324621858E-9</v>
      </c>
      <c r="AA27" s="10">
        <f t="shared" si="18"/>
        <v>5.0103628487188682E-9</v>
      </c>
      <c r="AB27" s="5">
        <f t="shared" si="26"/>
        <v>-9.1929999999999996</v>
      </c>
      <c r="AC27" s="9">
        <f t="shared" si="19"/>
        <v>6.9321167324621858E-9</v>
      </c>
      <c r="AD27" s="10">
        <f t="shared" si="20"/>
        <v>5.061303511796372E-9</v>
      </c>
      <c r="AE27" s="5">
        <f t="shared" si="26"/>
        <v>-9.1929999999999996</v>
      </c>
      <c r="AF27" s="9">
        <f t="shared" si="21"/>
        <v>6.9321167324621858E-9</v>
      </c>
      <c r="AG27" s="10">
        <f t="shared" si="22"/>
        <v>5.1301021501358501E-9</v>
      </c>
      <c r="AH27" s="5">
        <f t="shared" si="26"/>
        <v>-9.1929999999999996</v>
      </c>
      <c r="AI27" s="9">
        <f t="shared" si="23"/>
        <v>6.9321167324621858E-9</v>
      </c>
      <c r="AJ27" s="10">
        <f t="shared" si="24"/>
        <v>5.1538310320889061E-9</v>
      </c>
    </row>
    <row r="28" spans="2:37">
      <c r="B28" s="50" t="s">
        <v>25</v>
      </c>
      <c r="C28" s="55">
        <v>6</v>
      </c>
      <c r="D28" s="53">
        <v>12.0107</v>
      </c>
      <c r="E28" s="284">
        <f>'Fe Sheet'!E28</f>
        <v>-3.577</v>
      </c>
      <c r="F28" s="57">
        <f t="shared" si="7"/>
        <v>3.1810340614763467E-3</v>
      </c>
      <c r="G28" s="57">
        <f t="shared" si="8"/>
        <v>2.2412368279947858E-3</v>
      </c>
      <c r="H28" s="142">
        <f>I28+H$30</f>
        <v>-0.25856275064073481</v>
      </c>
      <c r="I28" s="103">
        <f>'Fe Sheet'!J28</f>
        <v>-0.34777635319290984</v>
      </c>
      <c r="J28" s="102">
        <f>'Fe Sheet'!I28</f>
        <v>-0.437</v>
      </c>
      <c r="K28"/>
      <c r="L28" s="21"/>
      <c r="M28" s="5">
        <f t="shared" ref="M28:M52" si="27">IF(M$17&gt;$C$3,($H28/$C$2)*$C$3,IF(M$17&gt;$C$2,($H28/$C$2)*M$17,$H28))+$E28+M$17</f>
        <v>-2.9477186246796325</v>
      </c>
      <c r="N28" s="9">
        <f t="shared" ref="N28" si="28">(10^M28)*$D28</f>
        <v>1.3547204751059793E-2</v>
      </c>
      <c r="O28" s="10">
        <f>N28/(SUM(N$23:N$52))</f>
        <v>8.6099754415863341E-3</v>
      </c>
      <c r="P28" s="5">
        <f t="shared" ref="P28:P52" si="29">IF(P$17&gt;$C$3,($H28/$C$2)*$C$3,IF(P$17&gt;$C$2,($H28/$C$2)*P$17,$H28))+$E28+P$17</f>
        <v>-3.1626654388221187</v>
      </c>
      <c r="Q28" s="9">
        <f t="shared" ref="Q28" si="30">(10^P28)*$D28</f>
        <v>8.258532469181977E-3</v>
      </c>
      <c r="R28" s="10">
        <f>Q28/(SUM(Q$23:Q$52))</f>
        <v>5.5507459181059551E-3</v>
      </c>
      <c r="S28" s="5">
        <f t="shared" ref="S28:S52" si="31">IF(S$17&gt;$C$3,($H28/$C$2)*$C$3,IF(S$17&gt;$C$2,($H28/$C$2)*S$17,$H28))+$E28+S$17</f>
        <v>-3.577</v>
      </c>
      <c r="T28" s="9">
        <f t="shared" ref="T28" si="32">(10^S28)*$D28</f>
        <v>3.1810340614763467E-3</v>
      </c>
      <c r="U28" s="10">
        <f t="shared" ref="U28" si="33">T28/(SUM(T$23:T$52))</f>
        <v>2.2412366520387825E-3</v>
      </c>
      <c r="V28" s="5">
        <f t="shared" ref="V28:V52" si="34">IF(V$17&gt;$C$3,($H28/$C$2)*$C$3,IF(V$17&gt;$C$2,($H28/$C$2)*V$17,$H28))+$E28+V$17</f>
        <v>-3.8532230407852546</v>
      </c>
      <c r="W28" s="9">
        <f t="shared" ref="W28" si="35">(10^V28)*$D28</f>
        <v>1.6840123751296081E-3</v>
      </c>
      <c r="X28" s="10">
        <f t="shared" ref="X28" si="36">W28/(SUM(W$23:W$52))</f>
        <v>1.2088696866277341E-3</v>
      </c>
      <c r="Y28" s="5">
        <f t="shared" ref="Y28:Y52" si="37">IF(Y$17&gt;$C$3,($H28/$C$2)*$C$3,IF(Y$17&gt;$C$2,($H28/$C$2)*Y$17,$H28))+$E28+Y$17</f>
        <v>-3.9913345611778812</v>
      </c>
      <c r="Z28" s="9">
        <f t="shared" ref="Z28" si="38">(10^Y28)*$D28</f>
        <v>1.225275524196736E-3</v>
      </c>
      <c r="AA28" s="10">
        <f t="shared" ref="AA28" si="39">Z28/(SUM(Z$23:Z$52))</f>
        <v>8.8559890186663858E-4</v>
      </c>
      <c r="AB28" s="5">
        <f t="shared" ref="AB28:AB52" si="40">IF(AB$17&gt;$C$3,($H28/$C$2)*$C$3,IF(AB$17&gt;$C$2,($H28/$C$2)*AB$17,$H28))+$E28+AB$17</f>
        <v>-4.2675576019631354</v>
      </c>
      <c r="AC28" s="9">
        <f t="shared" ref="AC28" si="41">(10^AB28)*$D28</f>
        <v>6.4865044064730691E-4</v>
      </c>
      <c r="AD28" s="10">
        <f t="shared" ref="AD28" si="42">AC28/(SUM(AC$23:AC$52))</f>
        <v>4.7359513405227953E-4</v>
      </c>
      <c r="AE28" s="5">
        <f t="shared" ref="AE28:AE52" si="43">IF(AE$17&gt;$C$3,($H28/$C$2)*$C$3,IF(AE$17&gt;$C$2,($H28/$C$2)*AE$17,$H28))+$E28+AE$17</f>
        <v>-4.8355627506407348</v>
      </c>
      <c r="AF28" s="9">
        <f t="shared" ref="AF28" si="44">(10^AE28)*$D28</f>
        <v>1.7539029912574044E-4</v>
      </c>
      <c r="AG28" s="10">
        <f t="shared" ref="AG28" si="45">AF28/(SUM(AF$23:AF$52))</f>
        <v>1.2979731666150777E-4</v>
      </c>
      <c r="AH28" s="5">
        <f t="shared" ref="AH28:AH52" si="46">IF(AH$17&gt;$C$3,($H28/$C$2)*$C$3,IF(AH$17&gt;$C$2,($H28/$C$2)*AH$17,$H28))+$E28+AH$17</f>
        <v>-5.3355627506407348</v>
      </c>
      <c r="AI28" s="9">
        <f t="shared" ref="AI28" si="47">(10^AH28)*$D28</f>
        <v>5.546328247355783E-5</v>
      </c>
      <c r="AJ28" s="10">
        <f t="shared" ref="AJ28" si="48">AI28/(SUM(AI$23:AI$52))</f>
        <v>4.1235368270004011E-5</v>
      </c>
    </row>
    <row r="29" spans="2:37">
      <c r="B29" s="262" t="s">
        <v>26</v>
      </c>
      <c r="C29" s="263">
        <v>7</v>
      </c>
      <c r="D29" s="264">
        <v>14.0067</v>
      </c>
      <c r="E29" s="279">
        <f>'Fe Sheet'!E29</f>
        <v>-4.21</v>
      </c>
      <c r="F29" s="266">
        <f t="shared" si="7"/>
        <v>8.6364612125732182E-4</v>
      </c>
      <c r="G29" s="266">
        <f t="shared" si="8"/>
        <v>6.0849253918972941E-4</v>
      </c>
      <c r="H29" s="279">
        <f>'Fe Sheet'!J29</f>
        <v>-0.67477635319290985</v>
      </c>
      <c r="I29" s="279">
        <f>'Fe Sheet'!H29</f>
        <v>-0.26400000000000001</v>
      </c>
      <c r="J29" s="279">
        <f>'Fe Sheet'!I29</f>
        <v>-0.76400000000000001</v>
      </c>
      <c r="K29" s="269"/>
      <c r="L29" s="303" t="s">
        <v>89</v>
      </c>
      <c r="M29" s="306">
        <f>$E29+LOG(10^-0.764 + 10^(M19-0.082))+M19</f>
        <v>-3.3506625592008947</v>
      </c>
      <c r="N29" s="267">
        <f>(10^M29)*$D29</f>
        <v>6.2470253414222696E-3</v>
      </c>
      <c r="O29" s="268">
        <f>N29/(SUM(N$23:N$52))</f>
        <v>3.9703197641864467E-3</v>
      </c>
      <c r="P29" s="307">
        <f>$E29+LOG(10^-0.764 + 10^(P19-0.082))+P19</f>
        <v>-3.72395823891619</v>
      </c>
      <c r="Q29" s="267">
        <f t="shared" si="11"/>
        <v>2.6447071416489504E-3</v>
      </c>
      <c r="R29" s="268">
        <f t="shared" si="12"/>
        <v>1.7775673130637543E-3</v>
      </c>
      <c r="S29" s="307">
        <f>$E29+LOG(10^-0.764 + 10^(S19-0.082))+S19</f>
        <v>-4.209943970414467</v>
      </c>
      <c r="T29" s="267">
        <f t="shared" si="13"/>
        <v>8.6375754992570615E-4</v>
      </c>
      <c r="U29" s="268">
        <f t="shared" si="14"/>
        <v>6.0857099985601841E-4</v>
      </c>
      <c r="V29" s="307">
        <f>$E29+LOG(10^-0.764 + 10^(V19-0.082))+V19</f>
        <v>-4.5220490889483438</v>
      </c>
      <c r="W29" s="267">
        <f t="shared" si="15"/>
        <v>4.2100450002871141E-4</v>
      </c>
      <c r="X29" s="268">
        <f t="shared" si="16"/>
        <v>3.0221843113201842E-4</v>
      </c>
      <c r="Y29" s="307">
        <f>$E29+LOG(10^-0.764 + 10^(Y19-0.082))+Y19</f>
        <v>-4.6735609335181101</v>
      </c>
      <c r="Z29" s="267">
        <f t="shared" si="17"/>
        <v>2.9701261356336042E-4</v>
      </c>
      <c r="AA29" s="268">
        <f t="shared" si="18"/>
        <v>2.1467338506144705E-4</v>
      </c>
      <c r="AB29" s="307">
        <f>$E29+LOG(10^-0.764 + 10^(AB19-0.082))+AB19</f>
        <v>-4.9659139643810635</v>
      </c>
      <c r="AC29" s="267">
        <f t="shared" si="19"/>
        <v>1.5150321972813487E-4</v>
      </c>
      <c r="AD29" s="268">
        <f t="shared" si="20"/>
        <v>1.1061610870856023E-4</v>
      </c>
      <c r="AE29" s="307">
        <f>$E29+LOG(10^-0.764 + 10^(AE19-0.082))+AE19</f>
        <v>-5.6832550627514902</v>
      </c>
      <c r="AF29" s="267">
        <f t="shared" si="21"/>
        <v>2.9045627550444123E-5</v>
      </c>
      <c r="AG29" s="268">
        <f t="shared" si="22"/>
        <v>2.1495171258556314E-5</v>
      </c>
      <c r="AH29" s="307">
        <f>$E29+LOG(10^-0.764 + 10^(AH19-0.082))+AH19</f>
        <v>-6.3104345540084115</v>
      </c>
      <c r="AI29" s="267">
        <f t="shared" si="23"/>
        <v>6.853324137784709E-6</v>
      </c>
      <c r="AJ29" s="268">
        <f t="shared" si="24"/>
        <v>5.0952509857307791E-6</v>
      </c>
    </row>
    <row r="30" spans="2:37" s="238" customFormat="1">
      <c r="B30" s="256" t="s">
        <v>5</v>
      </c>
      <c r="C30" s="257">
        <v>8</v>
      </c>
      <c r="D30" s="258">
        <v>15.9994</v>
      </c>
      <c r="E30" s="281">
        <f>'Fe Sheet'!E30</f>
        <v>-3.24</v>
      </c>
      <c r="F30" s="259">
        <f t="shared" si="7"/>
        <v>9.2066937334320982E-3</v>
      </c>
      <c r="G30" s="259">
        <f t="shared" si="8"/>
        <v>6.4866897558023074E-3</v>
      </c>
      <c r="H30" s="297">
        <f>K31</f>
        <v>8.9213602552175031E-2</v>
      </c>
      <c r="I30" s="298">
        <f>'Fe Sheet'!J30</f>
        <v>8.9223646807090162E-2</v>
      </c>
      <c r="J30" s="299">
        <f>'Fe Sheet'!I30</f>
        <v>0</v>
      </c>
      <c r="K30" s="172">
        <f>M19-M17</f>
        <v>-4.4606801276087515E-2</v>
      </c>
      <c r="L30" s="21" t="s">
        <v>86</v>
      </c>
      <c r="M30" s="247">
        <f t="shared" si="27"/>
        <v>-2.7846068012760878</v>
      </c>
      <c r="N30" s="248">
        <f t="shared" si="9"/>
        <v>2.627222743192446E-2</v>
      </c>
      <c r="O30" s="249">
        <f t="shared" si="10"/>
        <v>1.6697410066600242E-2</v>
      </c>
      <c r="P30" s="305">
        <f t="shared" si="29"/>
        <v>-2.9794496039109433</v>
      </c>
      <c r="Q30" s="248">
        <f t="shared" si="11"/>
        <v>1.6774674138199615E-2</v>
      </c>
      <c r="R30" s="249">
        <f t="shared" si="12"/>
        <v>1.1274636788997447E-2</v>
      </c>
      <c r="S30" s="247">
        <f t="shared" si="31"/>
        <v>-3.24</v>
      </c>
      <c r="T30" s="248">
        <f t="shared" si="13"/>
        <v>9.2066937334320982E-3</v>
      </c>
      <c r="U30" s="249">
        <f t="shared" si="14"/>
        <v>6.4866892465424257E-3</v>
      </c>
      <c r="V30" s="247">
        <f t="shared" si="34"/>
        <v>-3.4137002640593721</v>
      </c>
      <c r="W30" s="248">
        <f t="shared" si="15"/>
        <v>6.1716804594212134E-3</v>
      </c>
      <c r="X30" s="249">
        <f t="shared" si="16"/>
        <v>4.4303459601196951E-3</v>
      </c>
      <c r="Y30" s="247">
        <f t="shared" si="37"/>
        <v>-3.5005503960890572</v>
      </c>
      <c r="Z30" s="248">
        <f t="shared" si="17"/>
        <v>5.0530465631039214E-3</v>
      </c>
      <c r="AA30" s="249">
        <f t="shared" si="18"/>
        <v>3.6522173168353459E-3</v>
      </c>
      <c r="AB30" s="247">
        <f t="shared" si="40"/>
        <v>-3.674250660148429</v>
      </c>
      <c r="AC30" s="248">
        <f t="shared" si="19"/>
        <v>3.3872951177695487E-3</v>
      </c>
      <c r="AD30" s="249">
        <f t="shared" si="20"/>
        <v>2.4731448324829897E-3</v>
      </c>
      <c r="AE30" s="247">
        <f t="shared" si="43"/>
        <v>-4.150786397447825</v>
      </c>
      <c r="AF30" s="248">
        <f t="shared" si="21"/>
        <v>1.1306216537908447E-3</v>
      </c>
      <c r="AG30" s="249">
        <f t="shared" si="22"/>
        <v>8.3671478726562293E-4</v>
      </c>
      <c r="AH30" s="247">
        <f t="shared" si="46"/>
        <v>-4.650786397447825</v>
      </c>
      <c r="AI30" s="248">
        <f t="shared" si="23"/>
        <v>3.5753395978854133E-4</v>
      </c>
      <c r="AJ30" s="249">
        <f t="shared" si="24"/>
        <v>2.6581629942191152E-4</v>
      </c>
    </row>
    <row r="31" spans="2:37">
      <c r="B31" s="50" t="s">
        <v>29</v>
      </c>
      <c r="C31" s="55">
        <v>9</v>
      </c>
      <c r="D31" s="53">
        <v>18.9984</v>
      </c>
      <c r="E31" s="277">
        <f>'Fe Sheet'!E31</f>
        <v>-7.56</v>
      </c>
      <c r="F31" s="57">
        <f t="shared" si="7"/>
        <v>5.2325938597499695E-7</v>
      </c>
      <c r="G31" s="57">
        <f t="shared" si="8"/>
        <v>3.6866886168984256E-7</v>
      </c>
      <c r="H31" s="142">
        <f>I31+H$30</f>
        <v>0.17843724935926519</v>
      </c>
      <c r="I31" s="103">
        <f>'Fe Sheet'!J31</f>
        <v>8.9223646807090162E-2</v>
      </c>
      <c r="J31" s="102">
        <f>'Fe Sheet'!I31</f>
        <v>0</v>
      </c>
      <c r="K31" s="260">
        <f>AVERAGE('Fe Sheet'!B58,'O Sheet'!B58)</f>
        <v>8.9213602552175031E-2</v>
      </c>
      <c r="L31" s="246" t="s">
        <v>85</v>
      </c>
      <c r="M31" s="5">
        <f t="shared" si="27"/>
        <v>-7.1492186246796319</v>
      </c>
      <c r="N31" s="9">
        <f t="shared" si="9"/>
        <v>1.3474057692710754E-6</v>
      </c>
      <c r="O31" s="10">
        <f t="shared" si="10"/>
        <v>8.5634865615861831E-7</v>
      </c>
      <c r="P31" s="5">
        <f t="shared" si="29"/>
        <v>-7.338903649318099</v>
      </c>
      <c r="Q31" s="9">
        <f t="shared" si="11"/>
        <v>8.7058940580529834E-7</v>
      </c>
      <c r="R31" s="10">
        <f t="shared" si="12"/>
        <v>5.8514277308383684E-7</v>
      </c>
      <c r="S31" s="5">
        <f t="shared" si="31"/>
        <v>-7.56</v>
      </c>
      <c r="T31" s="9">
        <f t="shared" si="13"/>
        <v>5.2325938597499695E-7</v>
      </c>
      <c r="U31" s="10">
        <f t="shared" si="14"/>
        <v>3.6866883274622605E-7</v>
      </c>
      <c r="V31" s="5">
        <f t="shared" si="34"/>
        <v>-7.7073975671212667</v>
      </c>
      <c r="W31" s="9">
        <f t="shared" si="15"/>
        <v>3.7266573245276134E-7</v>
      </c>
      <c r="X31" s="10">
        <f t="shared" si="16"/>
        <v>2.6751840655113479E-7</v>
      </c>
      <c r="Y31" s="5">
        <f t="shared" si="37"/>
        <v>-7.7810963506819002</v>
      </c>
      <c r="Z31" s="9">
        <f t="shared" si="17"/>
        <v>3.1450001939509643E-7</v>
      </c>
      <c r="AA31" s="10">
        <f t="shared" si="18"/>
        <v>2.2731285030436414E-7</v>
      </c>
      <c r="AB31" s="5">
        <f t="shared" si="40"/>
        <v>-7.9284939178031673</v>
      </c>
      <c r="AC31" s="9">
        <f t="shared" si="19"/>
        <v>2.2398715288383036E-7</v>
      </c>
      <c r="AD31" s="10">
        <f t="shared" si="20"/>
        <v>1.6353835447972032E-7</v>
      </c>
      <c r="AE31" s="5">
        <f t="shared" si="43"/>
        <v>-8.3815627506407342</v>
      </c>
      <c r="AF31" s="9">
        <f t="shared" si="21"/>
        <v>7.8914039813120842E-8</v>
      </c>
      <c r="AG31" s="10">
        <f t="shared" si="22"/>
        <v>5.8400211788904072E-8</v>
      </c>
      <c r="AH31" s="5">
        <f t="shared" si="46"/>
        <v>-8.8815627506407342</v>
      </c>
      <c r="AI31" s="9">
        <f t="shared" si="23"/>
        <v>2.4954810517466953E-8</v>
      </c>
      <c r="AJ31" s="10">
        <f t="shared" si="24"/>
        <v>1.855318971224802E-8</v>
      </c>
    </row>
    <row r="32" spans="2:37">
      <c r="B32" s="50" t="s">
        <v>30</v>
      </c>
      <c r="C32" s="55">
        <v>10</v>
      </c>
      <c r="D32" s="53">
        <v>20.1797</v>
      </c>
      <c r="E32" s="277">
        <f>'Fe Sheet'!E32</f>
        <v>-3.91</v>
      </c>
      <c r="F32" s="57">
        <f t="shared" si="7"/>
        <v>2.4826454714362576E-3</v>
      </c>
      <c r="G32" s="57">
        <f t="shared" si="8"/>
        <v>1.7491785230539228E-3</v>
      </c>
      <c r="H32" s="142">
        <f t="shared" ref="H32:H52" si="49">I32+H$30</f>
        <v>0.17843724935926519</v>
      </c>
      <c r="I32" s="103">
        <f>'Fe Sheet'!J32</f>
        <v>8.9223646807090162E-2</v>
      </c>
      <c r="J32" s="102">
        <f>'Fe Sheet'!I32</f>
        <v>0</v>
      </c>
      <c r="K32"/>
      <c r="L32" s="21"/>
      <c r="M32" s="5">
        <f t="shared" si="27"/>
        <v>-3.4992186246796328</v>
      </c>
      <c r="N32" s="9">
        <f t="shared" si="9"/>
        <v>6.3928730586167775E-3</v>
      </c>
      <c r="O32" s="10">
        <f t="shared" si="10"/>
        <v>4.0630138133524131E-3</v>
      </c>
      <c r="P32" s="5">
        <f t="shared" si="29"/>
        <v>-3.6889036493180996</v>
      </c>
      <c r="Q32" s="9">
        <f t="shared" si="11"/>
        <v>4.1305801744494254E-3</v>
      </c>
      <c r="R32" s="10">
        <f t="shared" si="12"/>
        <v>2.7762560876636684E-3</v>
      </c>
      <c r="S32" s="5">
        <f t="shared" si="31"/>
        <v>-3.91</v>
      </c>
      <c r="T32" s="9">
        <f t="shared" si="13"/>
        <v>2.4826454714362576E-3</v>
      </c>
      <c r="U32" s="10">
        <f t="shared" si="14"/>
        <v>1.7491783857286488E-3</v>
      </c>
      <c r="V32" s="5">
        <f t="shared" si="34"/>
        <v>-4.0573975671212672</v>
      </c>
      <c r="W32" s="9">
        <f t="shared" si="15"/>
        <v>1.768141991967118E-3</v>
      </c>
      <c r="X32" s="10">
        <f t="shared" si="16"/>
        <v>1.2692622021724281E-3</v>
      </c>
      <c r="Y32" s="5">
        <f t="shared" si="37"/>
        <v>-4.1310963506819007</v>
      </c>
      <c r="Z32" s="9">
        <f t="shared" si="17"/>
        <v>1.4921701738096651E-3</v>
      </c>
      <c r="AA32" s="10">
        <f t="shared" si="18"/>
        <v>1.0785037660736053E-3</v>
      </c>
      <c r="AB32" s="5">
        <f t="shared" si="40"/>
        <v>-4.2784939178031678</v>
      </c>
      <c r="AC32" s="9">
        <f t="shared" si="19"/>
        <v>1.0627247320767856E-3</v>
      </c>
      <c r="AD32" s="10">
        <f t="shared" si="20"/>
        <v>7.7592063522892137E-4</v>
      </c>
      <c r="AE32" s="5">
        <f t="shared" si="43"/>
        <v>-4.7315627506407347</v>
      </c>
      <c r="AF32" s="9">
        <f t="shared" si="21"/>
        <v>3.744138926619199E-4</v>
      </c>
      <c r="AG32" s="10">
        <f t="shared" si="22"/>
        <v>2.770844159029929E-4</v>
      </c>
      <c r="AH32" s="5">
        <f t="shared" si="46"/>
        <v>-5.2315627506407347</v>
      </c>
      <c r="AI32" s="9">
        <f t="shared" si="23"/>
        <v>1.1840006884214701E-4</v>
      </c>
      <c r="AJ32" s="10">
        <f t="shared" si="24"/>
        <v>8.8027073482846709E-5</v>
      </c>
    </row>
    <row r="33" spans="2:36">
      <c r="B33" s="50" t="s">
        <v>6</v>
      </c>
      <c r="C33" s="55">
        <v>11</v>
      </c>
      <c r="D33" s="53">
        <v>22.98977</v>
      </c>
      <c r="E33" s="277">
        <f>'Fe Sheet'!E33</f>
        <v>-5.79</v>
      </c>
      <c r="F33" s="57">
        <f t="shared" si="7"/>
        <v>3.7285041121959353E-5</v>
      </c>
      <c r="G33" s="57">
        <f t="shared" si="8"/>
        <v>2.62696361248808E-5</v>
      </c>
      <c r="H33" s="142">
        <f t="shared" si="49"/>
        <v>-0.1215627506407348</v>
      </c>
      <c r="I33" s="103">
        <f>'Fe Sheet'!J33</f>
        <v>-0.21077635319290983</v>
      </c>
      <c r="J33" s="102">
        <f>'Fe Sheet'!I33</f>
        <v>-0.3</v>
      </c>
      <c r="K33"/>
      <c r="L33" s="21"/>
      <c r="M33" s="5">
        <f t="shared" si="27"/>
        <v>-5.2292186246796328</v>
      </c>
      <c r="N33" s="9">
        <f t="shared" si="9"/>
        <v>1.3561758352941759E-4</v>
      </c>
      <c r="O33" s="10">
        <f t="shared" si="10"/>
        <v>8.6192250363989148E-5</v>
      </c>
      <c r="P33" s="5">
        <f t="shared" si="29"/>
        <v>-5.4362458389089596</v>
      </c>
      <c r="Q33" s="9">
        <f t="shared" si="11"/>
        <v>8.4195481997097307E-5</v>
      </c>
      <c r="R33" s="10">
        <f t="shared" si="12"/>
        <v>5.6589682218037335E-5</v>
      </c>
      <c r="S33" s="5">
        <f t="shared" si="31"/>
        <v>-5.79</v>
      </c>
      <c r="T33" s="9">
        <f t="shared" si="13"/>
        <v>3.7285041121959353E-5</v>
      </c>
      <c r="U33" s="10">
        <f t="shared" si="14"/>
        <v>2.6269634062492695E-5</v>
      </c>
      <c r="V33" s="5">
        <f t="shared" si="34"/>
        <v>-6.025836107394027</v>
      </c>
      <c r="W33" s="9">
        <f t="shared" si="15"/>
        <v>2.1661998380013957E-5</v>
      </c>
      <c r="X33" s="10">
        <f t="shared" si="16"/>
        <v>1.5550083586150925E-5</v>
      </c>
      <c r="Y33" s="5">
        <f t="shared" si="37"/>
        <v>-6.1437541610910404</v>
      </c>
      <c r="Z33" s="9">
        <f t="shared" si="17"/>
        <v>1.6511269470660278E-5</v>
      </c>
      <c r="AA33" s="10">
        <f t="shared" si="18"/>
        <v>1.1933937977931127E-5</v>
      </c>
      <c r="AB33" s="5">
        <f t="shared" si="40"/>
        <v>-6.3795902684850674</v>
      </c>
      <c r="AC33" s="9">
        <f t="shared" si="19"/>
        <v>9.592777204012945E-6</v>
      </c>
      <c r="AD33" s="10">
        <f t="shared" si="20"/>
        <v>7.0039150845784965E-6</v>
      </c>
      <c r="AE33" s="5">
        <f t="shared" si="43"/>
        <v>-6.9115627506407344</v>
      </c>
      <c r="AF33" s="9">
        <f t="shared" si="21"/>
        <v>2.8182004231315031E-6</v>
      </c>
      <c r="AG33" s="10">
        <f t="shared" si="22"/>
        <v>2.085604817142994E-6</v>
      </c>
      <c r="AH33" s="5">
        <f t="shared" si="46"/>
        <v>-7.4115627506407344</v>
      </c>
      <c r="AI33" s="9">
        <f t="shared" si="23"/>
        <v>8.9119322399458208E-7</v>
      </c>
      <c r="AJ33" s="10">
        <f t="shared" si="24"/>
        <v>6.6257673819916319E-7</v>
      </c>
    </row>
    <row r="34" spans="2:36">
      <c r="B34" s="50" t="s">
        <v>7</v>
      </c>
      <c r="C34" s="55">
        <v>12</v>
      </c>
      <c r="D34" s="53">
        <v>24.305</v>
      </c>
      <c r="E34" s="277">
        <f>'Fe Sheet'!E34</f>
        <v>-4.4400000000000004</v>
      </c>
      <c r="F34" s="57">
        <f t="shared" si="7"/>
        <v>8.8246121211872967E-4</v>
      </c>
      <c r="G34" s="57">
        <f t="shared" si="8"/>
        <v>6.2174894378826562E-4</v>
      </c>
      <c r="H34" s="142">
        <f t="shared" si="49"/>
        <v>7.8437249359265215E-2</v>
      </c>
      <c r="I34" s="103">
        <f>'Fe Sheet'!J34</f>
        <v>-1.0776353192909816E-2</v>
      </c>
      <c r="J34" s="102">
        <f>'Fe Sheet'!I34</f>
        <v>-9.9999999999999978E-2</v>
      </c>
      <c r="K34"/>
      <c r="L34" s="21"/>
      <c r="M34" s="5">
        <f t="shared" si="27"/>
        <v>-3.9792186246796328</v>
      </c>
      <c r="N34" s="9">
        <f t="shared" si="9"/>
        <v>2.5496290615440518E-3</v>
      </c>
      <c r="O34" s="10">
        <f t="shared" si="10"/>
        <v>1.6204260589869496E-3</v>
      </c>
      <c r="P34" s="5">
        <f t="shared" si="29"/>
        <v>-4.1746843791817199</v>
      </c>
      <c r="Q34" s="9">
        <f t="shared" si="11"/>
        <v>1.6255908505289423E-3</v>
      </c>
      <c r="R34" s="10">
        <f t="shared" si="12"/>
        <v>1.0925962707969692E-3</v>
      </c>
      <c r="S34" s="5">
        <f t="shared" si="31"/>
        <v>-4.4400000000000004</v>
      </c>
      <c r="T34" s="9">
        <f t="shared" si="13"/>
        <v>8.8246121211872967E-4</v>
      </c>
      <c r="U34" s="10">
        <f t="shared" si="14"/>
        <v>6.2174889497572708E-4</v>
      </c>
      <c r="V34" s="5">
        <f t="shared" si="34"/>
        <v>-4.616877080545521</v>
      </c>
      <c r="W34" s="9">
        <f t="shared" si="15"/>
        <v>5.8724394141568617E-4</v>
      </c>
      <c r="X34" s="10">
        <f t="shared" si="16"/>
        <v>4.2155355264451616E-4</v>
      </c>
      <c r="Y34" s="5">
        <f t="shared" si="37"/>
        <v>-4.7053156208182809</v>
      </c>
      <c r="Z34" s="9">
        <f t="shared" si="17"/>
        <v>4.7904907353573506E-4</v>
      </c>
      <c r="AA34" s="10">
        <f t="shared" si="18"/>
        <v>3.4624484459656825E-4</v>
      </c>
      <c r="AB34" s="5">
        <f t="shared" si="40"/>
        <v>-4.8821927013638016</v>
      </c>
      <c r="AC34" s="9">
        <f t="shared" si="19"/>
        <v>3.187887039241429E-4</v>
      </c>
      <c r="AD34" s="10">
        <f t="shared" si="20"/>
        <v>2.3275522455306258E-4</v>
      </c>
      <c r="AE34" s="5">
        <f t="shared" si="43"/>
        <v>-5.3615627506407355</v>
      </c>
      <c r="AF34" s="9">
        <f t="shared" si="21"/>
        <v>1.0571408977740259E-4</v>
      </c>
      <c r="AG34" s="10">
        <f t="shared" si="22"/>
        <v>7.8233546865573599E-5</v>
      </c>
      <c r="AH34" s="5">
        <f t="shared" si="46"/>
        <v>-5.8615627506407355</v>
      </c>
      <c r="AI34" s="9">
        <f t="shared" si="23"/>
        <v>3.3429730446811443E-5</v>
      </c>
      <c r="AJ34" s="10">
        <f t="shared" si="24"/>
        <v>2.485405090833617E-5</v>
      </c>
    </row>
    <row r="35" spans="2:36">
      <c r="B35" s="50" t="s">
        <v>8</v>
      </c>
      <c r="C35" s="55">
        <v>13</v>
      </c>
      <c r="D35" s="53">
        <v>26.981539999999999</v>
      </c>
      <c r="E35" s="277">
        <f>'Fe Sheet'!E35</f>
        <v>-5.57</v>
      </c>
      <c r="F35" s="57">
        <f t="shared" si="7"/>
        <v>7.2621753973546094E-5</v>
      </c>
      <c r="G35" s="57">
        <f t="shared" si="8"/>
        <v>5.1166553508562116E-5</v>
      </c>
      <c r="H35" s="142">
        <f t="shared" si="49"/>
        <v>7.8437249359265215E-2</v>
      </c>
      <c r="I35" s="103">
        <f>'Fe Sheet'!J35</f>
        <v>-1.0776353192909816E-2</v>
      </c>
      <c r="J35" s="102">
        <f>'Fe Sheet'!I35</f>
        <v>-9.9999999999999978E-2</v>
      </c>
      <c r="K35"/>
      <c r="L35" s="21"/>
      <c r="M35" s="5">
        <f t="shared" si="27"/>
        <v>-5.1092186246796327</v>
      </c>
      <c r="N35" s="9">
        <f t="shared" si="9"/>
        <v>2.0982059255239321E-4</v>
      </c>
      <c r="O35" s="10">
        <f t="shared" si="10"/>
        <v>1.3335224367033152E-4</v>
      </c>
      <c r="P35" s="5">
        <f t="shared" si="29"/>
        <v>-5.3046843791817198</v>
      </c>
      <c r="Q35" s="9">
        <f t="shared" si="11"/>
        <v>1.3377727789907334E-4</v>
      </c>
      <c r="R35" s="10">
        <f t="shared" si="12"/>
        <v>8.9914725407280461E-5</v>
      </c>
      <c r="S35" s="5">
        <f t="shared" si="31"/>
        <v>-5.57</v>
      </c>
      <c r="T35" s="9">
        <f t="shared" si="13"/>
        <v>7.2621753973546094E-5</v>
      </c>
      <c r="U35" s="10">
        <f t="shared" si="14"/>
        <v>5.1166549491555912E-5</v>
      </c>
      <c r="V35" s="5">
        <f t="shared" si="34"/>
        <v>-5.7468770805455209</v>
      </c>
      <c r="W35" s="9">
        <f t="shared" si="15"/>
        <v>4.8326979645432434E-5</v>
      </c>
      <c r="X35" s="10">
        <f t="shared" si="16"/>
        <v>3.4691562605139692E-5</v>
      </c>
      <c r="Y35" s="5">
        <f t="shared" si="37"/>
        <v>-5.8353156208182808</v>
      </c>
      <c r="Z35" s="9">
        <f t="shared" si="17"/>
        <v>3.9423130990698606E-5</v>
      </c>
      <c r="AA35" s="10">
        <f t="shared" si="18"/>
        <v>2.8494065884810349E-5</v>
      </c>
      <c r="AB35" s="5">
        <f t="shared" si="40"/>
        <v>-6.0121927013638015</v>
      </c>
      <c r="AC35" s="9">
        <f t="shared" si="19"/>
        <v>2.6234574968276244E-5</v>
      </c>
      <c r="AD35" s="10">
        <f t="shared" si="20"/>
        <v>1.9154487949636683E-5</v>
      </c>
      <c r="AE35" s="5">
        <f t="shared" si="43"/>
        <v>-6.4915627506407354</v>
      </c>
      <c r="AF35" s="9">
        <f t="shared" si="21"/>
        <v>8.699694121308287E-6</v>
      </c>
      <c r="AG35" s="10">
        <f t="shared" si="22"/>
        <v>6.4381950333077886E-6</v>
      </c>
      <c r="AH35" s="5">
        <f t="shared" si="46"/>
        <v>-6.9915627506407354</v>
      </c>
      <c r="AI35" s="9">
        <f t="shared" si="23"/>
        <v>2.7510848370111403E-6</v>
      </c>
      <c r="AJ35" s="10">
        <f t="shared" si="24"/>
        <v>2.0453530937384009E-6</v>
      </c>
    </row>
    <row r="36" spans="2:36">
      <c r="B36" s="50" t="s">
        <v>9</v>
      </c>
      <c r="C36" s="55">
        <v>14</v>
      </c>
      <c r="D36" s="53">
        <v>28.0855</v>
      </c>
      <c r="E36" s="277">
        <f>'Fe Sheet'!E36</f>
        <v>-4.5</v>
      </c>
      <c r="F36" s="57">
        <f t="shared" si="7"/>
        <v>8.8814149224658893E-4</v>
      </c>
      <c r="G36" s="57">
        <f t="shared" si="8"/>
        <v>6.257510552934711E-4</v>
      </c>
      <c r="H36" s="142">
        <f t="shared" si="49"/>
        <v>7.8437249359265215E-2</v>
      </c>
      <c r="I36" s="103">
        <f>'Fe Sheet'!J36</f>
        <v>-1.0776353192909816E-2</v>
      </c>
      <c r="J36" s="102">
        <f>'Fe Sheet'!I36</f>
        <v>-9.9999999999999978E-2</v>
      </c>
      <c r="K36"/>
      <c r="L36" s="21"/>
      <c r="M36" s="5">
        <f t="shared" si="27"/>
        <v>-4.0392186246796324</v>
      </c>
      <c r="N36" s="9">
        <f t="shared" si="9"/>
        <v>2.5660406693210434E-3</v>
      </c>
      <c r="O36" s="10">
        <f t="shared" si="10"/>
        <v>1.6308565162298572E-3</v>
      </c>
      <c r="P36" s="5">
        <f t="shared" si="29"/>
        <v>-4.2346843791817195</v>
      </c>
      <c r="Q36" s="9">
        <f t="shared" si="11"/>
        <v>1.6360545528169099E-3</v>
      </c>
      <c r="R36" s="10">
        <f t="shared" si="12"/>
        <v>1.0996291610810424E-3</v>
      </c>
      <c r="S36" s="5">
        <f t="shared" si="31"/>
        <v>-4.5</v>
      </c>
      <c r="T36" s="9">
        <f t="shared" si="13"/>
        <v>8.8814149224658893E-4</v>
      </c>
      <c r="U36" s="10">
        <f t="shared" si="14"/>
        <v>6.2575100616673305E-4</v>
      </c>
      <c r="V36" s="5">
        <f t="shared" si="34"/>
        <v>-4.6768770805455206</v>
      </c>
      <c r="W36" s="9">
        <f t="shared" si="15"/>
        <v>5.9102394901808328E-4</v>
      </c>
      <c r="X36" s="10">
        <f t="shared" si="16"/>
        <v>4.2426703425144828E-4</v>
      </c>
      <c r="Y36" s="5">
        <f t="shared" si="37"/>
        <v>-4.7653156208182805</v>
      </c>
      <c r="Z36" s="9">
        <f t="shared" si="17"/>
        <v>4.8213264581665289E-4</v>
      </c>
      <c r="AA36" s="10">
        <f t="shared" si="18"/>
        <v>3.4847357452047457E-4</v>
      </c>
      <c r="AB36" s="5">
        <f t="shared" si="40"/>
        <v>-4.9421927013638012</v>
      </c>
      <c r="AC36" s="9">
        <f t="shared" si="19"/>
        <v>3.2084070248795374E-4</v>
      </c>
      <c r="AD36" s="10">
        <f t="shared" si="20"/>
        <v>2.3425343757197808E-4</v>
      </c>
      <c r="AE36" s="5">
        <f t="shared" si="43"/>
        <v>-5.4215627506407351</v>
      </c>
      <c r="AF36" s="9">
        <f t="shared" si="21"/>
        <v>1.0639455667515508E-4</v>
      </c>
      <c r="AG36" s="10">
        <f t="shared" si="22"/>
        <v>7.8737125329408325E-5</v>
      </c>
      <c r="AH36" s="5">
        <f t="shared" si="46"/>
        <v>-5.9215627506407351</v>
      </c>
      <c r="AI36" s="9">
        <f t="shared" si="23"/>
        <v>3.3644912973736181E-5</v>
      </c>
      <c r="AJ36" s="10">
        <f t="shared" si="24"/>
        <v>2.5014032978406435E-5</v>
      </c>
    </row>
    <row r="37" spans="2:36">
      <c r="B37" s="50" t="s">
        <v>10</v>
      </c>
      <c r="C37" s="55">
        <v>15</v>
      </c>
      <c r="D37" s="53">
        <v>30.973759999999999</v>
      </c>
      <c r="E37" s="277">
        <f>'Fe Sheet'!E37</f>
        <v>-6.59</v>
      </c>
      <c r="F37" s="57">
        <f t="shared" si="7"/>
        <v>7.9614822080494834E-6</v>
      </c>
      <c r="G37" s="57">
        <f t="shared" si="8"/>
        <v>5.6093605994977572E-6</v>
      </c>
      <c r="H37" s="142">
        <f t="shared" si="49"/>
        <v>-0.32156275064073481</v>
      </c>
      <c r="I37" s="103">
        <f>'Fe Sheet'!J37</f>
        <v>-0.41077635319290984</v>
      </c>
      <c r="J37" s="102">
        <f>'Fe Sheet'!I37</f>
        <v>-0.5</v>
      </c>
      <c r="K37"/>
      <c r="L37" s="21"/>
      <c r="M37" s="5">
        <f t="shared" si="27"/>
        <v>-5.9292186246796321</v>
      </c>
      <c r="N37" s="9">
        <f t="shared" si="9"/>
        <v>3.6456527891897178E-5</v>
      </c>
      <c r="O37" s="10">
        <f t="shared" si="10"/>
        <v>2.3170079407723313E-5</v>
      </c>
      <c r="P37" s="5">
        <f t="shared" si="29"/>
        <v>-6.1478072986361996</v>
      </c>
      <c r="Q37" s="9">
        <f t="shared" si="11"/>
        <v>2.2038733346238107E-5</v>
      </c>
      <c r="R37" s="10">
        <f t="shared" si="12"/>
        <v>1.4812729697238077E-5</v>
      </c>
      <c r="S37" s="5">
        <f t="shared" si="31"/>
        <v>-6.59</v>
      </c>
      <c r="T37" s="9">
        <f t="shared" si="13"/>
        <v>7.9614822080494834E-6</v>
      </c>
      <c r="U37" s="10">
        <f t="shared" si="14"/>
        <v>5.6093601591156175E-6</v>
      </c>
      <c r="V37" s="5">
        <f t="shared" si="34"/>
        <v>-6.884795134242534</v>
      </c>
      <c r="W37" s="9">
        <f t="shared" si="15"/>
        <v>4.0383020055545384E-6</v>
      </c>
      <c r="X37" s="10">
        <f t="shared" si="16"/>
        <v>2.8988984594529148E-6</v>
      </c>
      <c r="Y37" s="5">
        <f t="shared" si="37"/>
        <v>-7.0321927013638001</v>
      </c>
      <c r="Z37" s="9">
        <f t="shared" si="17"/>
        <v>2.8760817581155539E-6</v>
      </c>
      <c r="AA37" s="10">
        <f t="shared" si="18"/>
        <v>2.0787608961140389E-6</v>
      </c>
      <c r="AB37" s="5">
        <f t="shared" si="40"/>
        <v>-7.3269878356063343</v>
      </c>
      <c r="AC37" s="9">
        <f t="shared" si="19"/>
        <v>1.4588347280603127E-6</v>
      </c>
      <c r="AD37" s="10">
        <f>AC37/(SUM(AC$23:AC$52))</f>
        <v>1.0651299764883819E-6</v>
      </c>
      <c r="AE37" s="5">
        <f t="shared" si="43"/>
        <v>-7.9115627506407344</v>
      </c>
      <c r="AF37" s="9">
        <f t="shared" si="21"/>
        <v>3.7969176524155599E-7</v>
      </c>
      <c r="AG37" s="10">
        <f t="shared" si="22"/>
        <v>2.8099029725408743E-7</v>
      </c>
      <c r="AH37" s="5">
        <f t="shared" si="46"/>
        <v>-8.4115627506407353</v>
      </c>
      <c r="AI37" s="9">
        <f t="shared" si="23"/>
        <v>1.2006907869732666E-7</v>
      </c>
      <c r="AJ37" s="10">
        <f t="shared" si="24"/>
        <v>8.9267934696883402E-8</v>
      </c>
    </row>
    <row r="38" spans="2:36">
      <c r="B38" s="50" t="s">
        <v>11</v>
      </c>
      <c r="C38" s="55">
        <v>16</v>
      </c>
      <c r="D38" s="53">
        <v>32.064999999999998</v>
      </c>
      <c r="E38" s="277">
        <f>'Fe Sheet'!E38</f>
        <v>-4.88</v>
      </c>
      <c r="F38" s="57">
        <f t="shared" si="7"/>
        <v>4.2269902321811131E-4</v>
      </c>
      <c r="G38" s="57">
        <f t="shared" si="8"/>
        <v>2.9781781637200442E-4</v>
      </c>
      <c r="H38" s="142">
        <f t="shared" si="49"/>
        <v>7.8437249359265215E-2</v>
      </c>
      <c r="I38" s="103">
        <f>'Fe Sheet'!J38</f>
        <v>-1.0776353192909816E-2</v>
      </c>
      <c r="J38" s="102">
        <f>'Fe Sheet'!I38</f>
        <v>-9.9999999999999978E-2</v>
      </c>
      <c r="K38"/>
      <c r="L38" s="21"/>
      <c r="M38" s="5">
        <f t="shared" si="27"/>
        <v>-4.4192186246796323</v>
      </c>
      <c r="N38" s="9">
        <f t="shared" si="9"/>
        <v>1.2212726169523464E-3</v>
      </c>
      <c r="O38" s="10">
        <f t="shared" si="10"/>
        <v>7.761842706790848E-4</v>
      </c>
      <c r="P38" s="5">
        <f t="shared" si="29"/>
        <v>-4.6146843791817194</v>
      </c>
      <c r="Q38" s="9">
        <f t="shared" si="11"/>
        <v>7.78658206428265E-4</v>
      </c>
      <c r="R38" s="10">
        <f t="shared" si="12"/>
        <v>5.2335374075964747E-4</v>
      </c>
      <c r="S38" s="5">
        <f t="shared" si="31"/>
        <v>-4.88</v>
      </c>
      <c r="T38" s="9">
        <f t="shared" si="13"/>
        <v>4.2269902321811131E-4</v>
      </c>
      <c r="U38" s="10">
        <f t="shared" si="14"/>
        <v>2.9781779299079279E-4</v>
      </c>
      <c r="V38" s="5">
        <f t="shared" si="34"/>
        <v>-5.0568770805455205</v>
      </c>
      <c r="W38" s="9">
        <f t="shared" si="15"/>
        <v>2.8128991622327184E-4</v>
      </c>
      <c r="X38" s="10">
        <f t="shared" si="16"/>
        <v>2.0192420073528094E-4</v>
      </c>
      <c r="Y38" s="5">
        <f t="shared" si="37"/>
        <v>-5.1453156208182804</v>
      </c>
      <c r="Z38" s="9">
        <f t="shared" si="17"/>
        <v>2.2946456192779631E-4</v>
      </c>
      <c r="AA38" s="10">
        <f t="shared" si="18"/>
        <v>1.6585132082336184E-4</v>
      </c>
      <c r="AB38" s="5">
        <f t="shared" si="40"/>
        <v>-5.3221927013638011</v>
      </c>
      <c r="AC38" s="9">
        <f t="shared" si="19"/>
        <v>1.526998262486498E-4</v>
      </c>
      <c r="AD38" s="10">
        <f t="shared" si="20"/>
        <v>1.1148977962586596E-4</v>
      </c>
      <c r="AE38" s="5">
        <f t="shared" si="43"/>
        <v>-5.801562750640735</v>
      </c>
      <c r="AF38" s="9">
        <f t="shared" si="21"/>
        <v>5.0637061295888087E-5</v>
      </c>
      <c r="AG38" s="10">
        <f t="shared" si="22"/>
        <v>3.7473878045664224E-5</v>
      </c>
      <c r="AH38" s="5">
        <f t="shared" si="46"/>
        <v>-6.301562750640735</v>
      </c>
      <c r="AI38" s="9">
        <f t="shared" si="23"/>
        <v>1.6012844771256398E-5</v>
      </c>
      <c r="AJ38" s="10">
        <f t="shared" si="24"/>
        <v>1.1905093275140399E-5</v>
      </c>
    </row>
    <row r="39" spans="2:36" s="238" customFormat="1">
      <c r="B39" s="239" t="s">
        <v>31</v>
      </c>
      <c r="C39" s="240">
        <v>17</v>
      </c>
      <c r="D39" s="241">
        <v>35.453000000000003</v>
      </c>
      <c r="E39" s="277">
        <f>'Fe Sheet'!E39</f>
        <v>-6.75</v>
      </c>
      <c r="F39" s="243">
        <f t="shared" si="7"/>
        <v>6.3045339924109855E-6</v>
      </c>
      <c r="G39" s="243">
        <f t="shared" si="8"/>
        <v>4.4419372738746028E-6</v>
      </c>
      <c r="H39" s="255">
        <f t="shared" si="49"/>
        <v>0.17843724935926519</v>
      </c>
      <c r="I39" s="103">
        <f>'Fe Sheet'!J39</f>
        <v>8.9223646807090162E-2</v>
      </c>
      <c r="J39" s="102">
        <f>'Fe Sheet'!I39</f>
        <v>0</v>
      </c>
      <c r="K39" s="245"/>
      <c r="L39" s="246"/>
      <c r="M39" s="247">
        <f t="shared" si="27"/>
        <v>-6.3392186246796323</v>
      </c>
      <c r="N39" s="248">
        <f t="shared" si="9"/>
        <v>1.6234329859390349E-5</v>
      </c>
      <c r="O39" s="249">
        <f t="shared" si="10"/>
        <v>1.0317787615118751E-5</v>
      </c>
      <c r="P39" s="247">
        <f t="shared" si="29"/>
        <v>-6.5289036493180994</v>
      </c>
      <c r="Q39" s="248">
        <f t="shared" si="11"/>
        <v>1.0489368465135648E-5</v>
      </c>
      <c r="R39" s="249">
        <f t="shared" si="12"/>
        <v>7.0501411005687073E-6</v>
      </c>
      <c r="S39" s="247">
        <f t="shared" si="31"/>
        <v>-6.75</v>
      </c>
      <c r="T39" s="248">
        <f t="shared" si="13"/>
        <v>6.3045339924109855E-6</v>
      </c>
      <c r="U39" s="249">
        <f t="shared" si="14"/>
        <v>4.4419369251450449E-6</v>
      </c>
      <c r="V39" s="247">
        <f t="shared" si="34"/>
        <v>-6.8973975671212671</v>
      </c>
      <c r="W39" s="248">
        <f t="shared" si="15"/>
        <v>4.4900939018558372E-6</v>
      </c>
      <c r="X39" s="249">
        <f t="shared" si="16"/>
        <v>3.2232176486516677E-6</v>
      </c>
      <c r="Y39" s="247">
        <f t="shared" si="37"/>
        <v>-6.9710963506819006</v>
      </c>
      <c r="Z39" s="248">
        <f t="shared" si="17"/>
        <v>3.7892794970046459E-6</v>
      </c>
      <c r="AA39" s="249">
        <f t="shared" si="18"/>
        <v>2.7387976786797081E-6</v>
      </c>
      <c r="AB39" s="247">
        <f t="shared" si="40"/>
        <v>-7.1184939178031676</v>
      </c>
      <c r="AC39" s="248">
        <f t="shared" si="19"/>
        <v>2.6987277382291213E-6</v>
      </c>
      <c r="AD39" s="249">
        <f t="shared" si="20"/>
        <v>1.9704053907398393E-6</v>
      </c>
      <c r="AE39" s="247">
        <f t="shared" si="43"/>
        <v>-7.5715627506407346</v>
      </c>
      <c r="AF39" s="248">
        <f t="shared" si="21"/>
        <v>9.5080233592611805E-7</v>
      </c>
      <c r="AG39" s="249">
        <f t="shared" si="22"/>
        <v>7.036397822106892E-7</v>
      </c>
      <c r="AH39" s="247">
        <f t="shared" si="46"/>
        <v>-8.0715627506407355</v>
      </c>
      <c r="AI39" s="248">
        <f t="shared" si="23"/>
        <v>3.0067009861350669E-7</v>
      </c>
      <c r="AJ39" s="249">
        <f t="shared" si="24"/>
        <v>2.2353964084288094E-7</v>
      </c>
    </row>
    <row r="40" spans="2:36">
      <c r="B40" s="50" t="s">
        <v>32</v>
      </c>
      <c r="C40" s="55">
        <v>18</v>
      </c>
      <c r="D40" s="53">
        <v>39.948</v>
      </c>
      <c r="E40" s="277">
        <f>'Fe Sheet'!E40</f>
        <v>-5.6</v>
      </c>
      <c r="F40" s="57">
        <f t="shared" si="7"/>
        <v>1.0034483916594473E-4</v>
      </c>
      <c r="G40" s="57">
        <f t="shared" si="8"/>
        <v>7.0699195510516598E-5</v>
      </c>
      <c r="H40" s="142">
        <f t="shared" si="49"/>
        <v>0.17843724935926519</v>
      </c>
      <c r="I40" s="103">
        <f>'Fe Sheet'!J40</f>
        <v>8.9223646807090162E-2</v>
      </c>
      <c r="J40" s="102">
        <f>'Fe Sheet'!I40</f>
        <v>0</v>
      </c>
      <c r="K40"/>
      <c r="L40" s="21"/>
      <c r="M40" s="5">
        <f t="shared" si="27"/>
        <v>-5.1892186246796319</v>
      </c>
      <c r="N40" s="9">
        <f t="shared" si="9"/>
        <v>2.5839042515566534E-4</v>
      </c>
      <c r="O40" s="10">
        <f t="shared" si="10"/>
        <v>1.6422097811412279E-4</v>
      </c>
      <c r="P40" s="5">
        <f t="shared" si="29"/>
        <v>-5.3789036493180991</v>
      </c>
      <c r="Q40" s="9">
        <f t="shared" si="11"/>
        <v>1.6695190998309621E-4</v>
      </c>
      <c r="R40" s="10">
        <f t="shared" si="12"/>
        <v>1.1221214378181844E-4</v>
      </c>
      <c r="S40" s="5">
        <f t="shared" si="31"/>
        <v>-5.6</v>
      </c>
      <c r="T40" s="9">
        <f t="shared" si="13"/>
        <v>1.0034483916594473E-4</v>
      </c>
      <c r="U40" s="10">
        <f t="shared" si="14"/>
        <v>7.0699189960033172E-5</v>
      </c>
      <c r="V40" s="5">
        <f t="shared" si="34"/>
        <v>-5.7473975671212667</v>
      </c>
      <c r="W40" s="9">
        <f t="shared" si="15"/>
        <v>7.1465670732217022E-5</v>
      </c>
      <c r="X40" s="10">
        <f t="shared" si="16"/>
        <v>5.1301691281245424E-5</v>
      </c>
      <c r="Y40" s="5">
        <f t="shared" si="37"/>
        <v>-5.8210963506819002</v>
      </c>
      <c r="Z40" s="9">
        <f t="shared" si="17"/>
        <v>6.0311300111863379E-5</v>
      </c>
      <c r="AA40" s="10">
        <f t="shared" si="18"/>
        <v>4.3591518882441547E-5</v>
      </c>
      <c r="AB40" s="5">
        <f t="shared" si="40"/>
        <v>-5.9684939178031673</v>
      </c>
      <c r="AC40" s="9">
        <f t="shared" si="19"/>
        <v>4.2953753785966039E-5</v>
      </c>
      <c r="AD40" s="10">
        <f t="shared" si="20"/>
        <v>3.1361558564598586E-5</v>
      </c>
      <c r="AE40" s="5">
        <f t="shared" si="43"/>
        <v>-6.4215627506407342</v>
      </c>
      <c r="AF40" s="9">
        <f t="shared" si="21"/>
        <v>1.5133252924317194E-5</v>
      </c>
      <c r="AG40" s="10">
        <f t="shared" si="22"/>
        <v>1.119934016720091E-5</v>
      </c>
      <c r="AH40" s="5">
        <f t="shared" si="46"/>
        <v>-6.9215627506407342</v>
      </c>
      <c r="AI40" s="9">
        <f t="shared" si="23"/>
        <v>4.7855547648246029E-6</v>
      </c>
      <c r="AJ40" s="10">
        <f t="shared" si="24"/>
        <v>3.5579234459823783E-6</v>
      </c>
    </row>
    <row r="41" spans="2:36">
      <c r="B41" s="50" t="s">
        <v>12</v>
      </c>
      <c r="C41" s="55">
        <v>19</v>
      </c>
      <c r="D41" s="53">
        <v>39.098300000000002</v>
      </c>
      <c r="E41" s="277">
        <f>'Fe Sheet'!E41</f>
        <v>-6.96</v>
      </c>
      <c r="F41" s="57">
        <f t="shared" si="7"/>
        <v>4.2870433456265043E-6</v>
      </c>
      <c r="G41" s="57">
        <f t="shared" si="8"/>
        <v>3.0204893263446574E-6</v>
      </c>
      <c r="H41" s="142">
        <f t="shared" si="49"/>
        <v>7.8437249359265215E-2</v>
      </c>
      <c r="I41" s="103">
        <f>'Fe Sheet'!J41</f>
        <v>-1.0776353192909816E-2</v>
      </c>
      <c r="J41" s="102">
        <f>'Fe Sheet'!I41</f>
        <v>-9.9999999999999978E-2</v>
      </c>
      <c r="K41"/>
      <c r="L41" s="21"/>
      <c r="M41" s="5">
        <f t="shared" si="27"/>
        <v>-6.4992186246796324</v>
      </c>
      <c r="N41" s="9">
        <f t="shared" si="9"/>
        <v>1.2386233130706424E-5</v>
      </c>
      <c r="O41" s="10">
        <f t="shared" si="10"/>
        <v>7.8721156894600363E-6</v>
      </c>
      <c r="P41" s="5">
        <f t="shared" si="29"/>
        <v>-6.6946843791817194</v>
      </c>
      <c r="Q41" s="9">
        <f t="shared" si="11"/>
        <v>7.8972065205442715E-6</v>
      </c>
      <c r="R41" s="10">
        <f t="shared" si="12"/>
        <v>5.3078905994411889E-6</v>
      </c>
      <c r="S41" s="5">
        <f t="shared" si="31"/>
        <v>-6.96</v>
      </c>
      <c r="T41" s="9">
        <f t="shared" si="13"/>
        <v>4.2870433456265043E-6</v>
      </c>
      <c r="U41" s="10">
        <f t="shared" si="14"/>
        <v>3.0204890892107577E-6</v>
      </c>
      <c r="V41" s="5">
        <f t="shared" si="34"/>
        <v>-7.1368770805455206</v>
      </c>
      <c r="W41" s="9">
        <f t="shared" si="15"/>
        <v>2.8528621957911902E-6</v>
      </c>
      <c r="X41" s="10">
        <f t="shared" si="16"/>
        <v>2.0479295042904758E-6</v>
      </c>
      <c r="Y41" s="5">
        <f t="shared" si="37"/>
        <v>-7.2253156208182805</v>
      </c>
      <c r="Z41" s="9">
        <f t="shared" si="17"/>
        <v>2.3272457924797705E-6</v>
      </c>
      <c r="AA41" s="10">
        <f t="shared" si="18"/>
        <v>1.6820758086594366E-6</v>
      </c>
      <c r="AB41" s="5">
        <f t="shared" si="40"/>
        <v>-7.4021927013638011</v>
      </c>
      <c r="AC41" s="9">
        <f t="shared" si="19"/>
        <v>1.5486924218885888E-6</v>
      </c>
      <c r="AD41" s="10">
        <f t="shared" si="20"/>
        <v>1.1307372186753495E-6</v>
      </c>
      <c r="AE41" s="5">
        <f t="shared" si="43"/>
        <v>-7.8815627506407351</v>
      </c>
      <c r="AF41" s="9">
        <f t="shared" si="21"/>
        <v>5.1356465178913797E-7</v>
      </c>
      <c r="AG41" s="10">
        <f t="shared" si="22"/>
        <v>3.8006271764576028E-7</v>
      </c>
      <c r="AH41" s="5">
        <f t="shared" si="46"/>
        <v>-8.381562750640736</v>
      </c>
      <c r="AI41" s="9">
        <f t="shared" si="23"/>
        <v>1.6240340254049398E-7</v>
      </c>
      <c r="AJ41" s="10">
        <f t="shared" si="24"/>
        <v>1.2074229676636362E-7</v>
      </c>
    </row>
    <row r="42" spans="2:36">
      <c r="B42" s="50" t="s">
        <v>13</v>
      </c>
      <c r="C42" s="55">
        <v>20</v>
      </c>
      <c r="D42" s="53">
        <v>40.078000000000003</v>
      </c>
      <c r="E42" s="277">
        <f>'Fe Sheet'!E42</f>
        <v>-5.68</v>
      </c>
      <c r="F42" s="57">
        <f t="shared" si="7"/>
        <v>8.3734810332368123E-5</v>
      </c>
      <c r="G42" s="57">
        <f t="shared" si="8"/>
        <v>5.8996394592192013E-5</v>
      </c>
      <c r="H42" s="142">
        <f t="shared" si="49"/>
        <v>2.8437249359265171E-2</v>
      </c>
      <c r="I42" s="103">
        <f>'Fe Sheet'!J42</f>
        <v>-6.077635319290986E-2</v>
      </c>
      <c r="J42" s="102">
        <f>'Fe Sheet'!I42</f>
        <v>-0.15000000000000002</v>
      </c>
      <c r="K42"/>
      <c r="L42" s="21"/>
      <c r="M42" s="5">
        <f t="shared" si="27"/>
        <v>-5.1942186246796327</v>
      </c>
      <c r="N42" s="9">
        <f t="shared" si="9"/>
        <v>2.5626389115196609E-4</v>
      </c>
      <c r="O42" s="10">
        <f t="shared" si="10"/>
        <v>1.6286945166390683E-4</v>
      </c>
      <c r="P42" s="5">
        <f t="shared" si="29"/>
        <v>-5.3925747441135297</v>
      </c>
      <c r="Q42" s="9">
        <f t="shared" si="11"/>
        <v>1.6230477495631388E-4</v>
      </c>
      <c r="R42" s="10">
        <f t="shared" si="12"/>
        <v>1.0908869952861031E-4</v>
      </c>
      <c r="S42" s="5">
        <f t="shared" si="31"/>
        <v>-5.68</v>
      </c>
      <c r="T42" s="9">
        <f t="shared" si="13"/>
        <v>8.3734810332368123E-5</v>
      </c>
      <c r="U42" s="10">
        <f t="shared" si="14"/>
        <v>5.8996389960477215E-5</v>
      </c>
      <c r="V42" s="5">
        <f t="shared" si="34"/>
        <v>-5.8716168372576467</v>
      </c>
      <c r="W42" s="9">
        <f t="shared" si="15"/>
        <v>5.386283443933157E-5</v>
      </c>
      <c r="X42" s="10">
        <f t="shared" si="16"/>
        <v>3.8665480581486177E-5</v>
      </c>
      <c r="Y42" s="5">
        <f t="shared" si="37"/>
        <v>-5.9674252558864698</v>
      </c>
      <c r="Z42" s="9">
        <f t="shared" si="17"/>
        <v>4.3199705389351026E-5</v>
      </c>
      <c r="AA42" s="10">
        <f t="shared" si="18"/>
        <v>3.1223680632037794E-5</v>
      </c>
      <c r="AB42" s="5">
        <f t="shared" si="40"/>
        <v>-6.1590420931441177</v>
      </c>
      <c r="AC42" s="9">
        <f t="shared" si="19"/>
        <v>2.7788425984110052E-5</v>
      </c>
      <c r="AD42" s="10">
        <f t="shared" si="20"/>
        <v>2.0288991580601167E-5</v>
      </c>
      <c r="AE42" s="5">
        <f t="shared" si="43"/>
        <v>-6.6515627506407347</v>
      </c>
      <c r="AF42" s="9">
        <f t="shared" si="21"/>
        <v>8.9401188077659587E-6</v>
      </c>
      <c r="AG42" s="10">
        <f t="shared" si="22"/>
        <v>6.6161209466390478E-6</v>
      </c>
      <c r="AH42" s="5">
        <f t="shared" si="46"/>
        <v>-7.1515627506407347</v>
      </c>
      <c r="AI42" s="9">
        <f t="shared" si="23"/>
        <v>2.8271137985049497E-6</v>
      </c>
      <c r="AJ42" s="10">
        <f t="shared" si="24"/>
        <v>2.1018784576650278E-6</v>
      </c>
    </row>
    <row r="43" spans="2:36">
      <c r="B43" s="50" t="s">
        <v>14</v>
      </c>
      <c r="C43" s="55">
        <v>21</v>
      </c>
      <c r="D43" s="53">
        <v>44.955910000000003</v>
      </c>
      <c r="E43" s="277">
        <f>'Fe Sheet'!E43</f>
        <v>-8.84</v>
      </c>
      <c r="F43" s="57">
        <f t="shared" si="7"/>
        <v>6.49810602440745E-8</v>
      </c>
      <c r="G43" s="57">
        <f t="shared" si="8"/>
        <v>4.5783208392800333E-8</v>
      </c>
      <c r="H43" s="142">
        <f t="shared" si="49"/>
        <v>-7.1562750640734807E-2</v>
      </c>
      <c r="I43" s="103">
        <f>'Fe Sheet'!J43</f>
        <v>-0.16077635319290984</v>
      </c>
      <c r="J43" s="102">
        <f>'Fe Sheet'!I43</f>
        <v>-0.25</v>
      </c>
      <c r="K43"/>
      <c r="L43" s="21"/>
      <c r="M43" s="5">
        <f t="shared" si="27"/>
        <v>-8.304218624679633</v>
      </c>
      <c r="N43" s="9">
        <f t="shared" si="9"/>
        <v>2.23135242109491E-7</v>
      </c>
      <c r="O43" s="10">
        <f t="shared" si="10"/>
        <v>1.4181441780931558E-7</v>
      </c>
      <c r="P43" s="5">
        <f t="shared" si="29"/>
        <v>-8.508355473977149</v>
      </c>
      <c r="Q43" s="9">
        <f t="shared" si="11"/>
        <v>1.3945411025106478E-7</v>
      </c>
      <c r="R43" s="10">
        <f t="shared" si="12"/>
        <v>9.3730252454389045E-8</v>
      </c>
      <c r="S43" s="5">
        <f t="shared" si="31"/>
        <v>-8.84</v>
      </c>
      <c r="T43" s="9">
        <f t="shared" si="13"/>
        <v>6.49810602440745E-8</v>
      </c>
      <c r="U43" s="10">
        <f t="shared" si="14"/>
        <v>4.5783204798432148E-8</v>
      </c>
      <c r="V43" s="5">
        <f t="shared" si="34"/>
        <v>-9.0610963506818987</v>
      </c>
      <c r="W43" s="9">
        <f t="shared" si="15"/>
        <v>3.9056241043809745E-8</v>
      </c>
      <c r="X43" s="10">
        <f t="shared" si="16"/>
        <v>2.8036555175465243E-8</v>
      </c>
      <c r="Y43" s="5">
        <f t="shared" si="37"/>
        <v>-9.1716445260228507</v>
      </c>
      <c r="Z43" s="9">
        <f t="shared" si="17"/>
        <v>3.0279051530586093E-8</v>
      </c>
      <c r="AA43" s="10">
        <f t="shared" si="18"/>
        <v>2.1884950980825151E-8</v>
      </c>
      <c r="AB43" s="5">
        <f t="shared" si="40"/>
        <v>-9.3927408767047513</v>
      </c>
      <c r="AC43" s="9">
        <f t="shared" si="19"/>
        <v>1.8198932592275524E-8</v>
      </c>
      <c r="AD43" s="10">
        <f t="shared" si="20"/>
        <v>1.328747408549673E-8</v>
      </c>
      <c r="AE43" s="5">
        <f t="shared" si="43"/>
        <v>-9.9115627506407353</v>
      </c>
      <c r="AF43" s="9">
        <f t="shared" si="21"/>
        <v>5.510919186414721E-9</v>
      </c>
      <c r="AG43" s="10">
        <f t="shared" si="22"/>
        <v>4.0783471280942242E-9</v>
      </c>
      <c r="AH43" s="5">
        <f t="shared" si="46"/>
        <v>-10.411562750640735</v>
      </c>
      <c r="AI43" s="9">
        <f t="shared" si="23"/>
        <v>1.7427056630192533E-9</v>
      </c>
      <c r="AJ43" s="10">
        <f t="shared" si="24"/>
        <v>1.2956519447813113E-9</v>
      </c>
    </row>
    <row r="44" spans="2:36">
      <c r="B44" s="50" t="s">
        <v>15</v>
      </c>
      <c r="C44" s="55">
        <v>22</v>
      </c>
      <c r="D44" s="53">
        <v>47.866999999999997</v>
      </c>
      <c r="E44" s="277">
        <f>'Fe Sheet'!E44</f>
        <v>-7.07</v>
      </c>
      <c r="F44" s="57">
        <f t="shared" si="7"/>
        <v>4.0741424474633016E-6</v>
      </c>
      <c r="G44" s="57">
        <f t="shared" si="8"/>
        <v>2.8704873696051302E-6</v>
      </c>
      <c r="H44" s="142">
        <f t="shared" si="49"/>
        <v>2.8437249359265171E-2</v>
      </c>
      <c r="I44" s="103">
        <f>'Fe Sheet'!J44</f>
        <v>-6.077635319290986E-2</v>
      </c>
      <c r="J44" s="102">
        <f>'Fe Sheet'!I44</f>
        <v>-0.15000000000000002</v>
      </c>
      <c r="K44"/>
      <c r="L44" s="21"/>
      <c r="M44" s="5">
        <f t="shared" si="27"/>
        <v>-6.5842186246796333</v>
      </c>
      <c r="N44" s="9">
        <f t="shared" si="9"/>
        <v>1.2468596901935736E-5</v>
      </c>
      <c r="O44" s="10">
        <f t="shared" si="10"/>
        <v>7.9244622849822847E-6</v>
      </c>
      <c r="P44" s="5">
        <f t="shared" si="29"/>
        <v>-6.7825747441135302</v>
      </c>
      <c r="Q44" s="9">
        <f t="shared" si="11"/>
        <v>7.8969877694926377E-6</v>
      </c>
      <c r="R44" s="10">
        <f t="shared" si="12"/>
        <v>5.3077435719261346E-6</v>
      </c>
      <c r="S44" s="5">
        <f t="shared" si="31"/>
        <v>-7.07</v>
      </c>
      <c r="T44" s="9">
        <f t="shared" si="13"/>
        <v>4.0741424474633016E-6</v>
      </c>
      <c r="U44" s="10">
        <f t="shared" si="14"/>
        <v>2.8704871442476502E-6</v>
      </c>
      <c r="V44" s="5">
        <f t="shared" si="34"/>
        <v>-7.2616168372576473</v>
      </c>
      <c r="W44" s="9">
        <f t="shared" si="15"/>
        <v>2.6207124523113863E-6</v>
      </c>
      <c r="X44" s="10">
        <f t="shared" si="16"/>
        <v>1.8812806175033224E-6</v>
      </c>
      <c r="Y44" s="5">
        <f t="shared" si="37"/>
        <v>-7.3574252558864703</v>
      </c>
      <c r="Z44" s="9">
        <f t="shared" si="17"/>
        <v>2.1018946928530875E-6</v>
      </c>
      <c r="AA44" s="10">
        <f t="shared" si="18"/>
        <v>1.5191975968428217E-6</v>
      </c>
      <c r="AB44" s="5">
        <f t="shared" si="40"/>
        <v>-7.5490420931441182</v>
      </c>
      <c r="AC44" s="9">
        <f t="shared" si="19"/>
        <v>1.3520542460259378E-6</v>
      </c>
      <c r="AD44" s="10">
        <f t="shared" si="20"/>
        <v>9.8716700362310359E-7</v>
      </c>
      <c r="AE44" s="5">
        <f t="shared" si="43"/>
        <v>-8.0415627506407361</v>
      </c>
      <c r="AF44" s="9">
        <f t="shared" si="21"/>
        <v>4.349841765391162E-7</v>
      </c>
      <c r="AG44" s="10">
        <f t="shared" si="22"/>
        <v>3.2190935979028032E-7</v>
      </c>
      <c r="AH44" s="5">
        <f t="shared" si="46"/>
        <v>-8.5415627506407361</v>
      </c>
      <c r="AI44" s="9">
        <f t="shared" si="23"/>
        <v>1.3755407439963871E-7</v>
      </c>
      <c r="AJ44" s="10">
        <f t="shared" si="24"/>
        <v>1.022675301919393E-7</v>
      </c>
    </row>
    <row r="45" spans="2:36">
      <c r="B45" s="50" t="s">
        <v>16</v>
      </c>
      <c r="C45" s="55">
        <v>23</v>
      </c>
      <c r="D45" s="53">
        <v>50.941499999999998</v>
      </c>
      <c r="E45" s="277">
        <f>'Fe Sheet'!E45</f>
        <v>-8.11</v>
      </c>
      <c r="F45" s="57">
        <f t="shared" si="7"/>
        <v>3.9543192491740474E-7</v>
      </c>
      <c r="G45" s="57">
        <f t="shared" si="8"/>
        <v>2.7860644556519989E-7</v>
      </c>
      <c r="H45" s="142">
        <f t="shared" si="49"/>
        <v>-0.32156275064073481</v>
      </c>
      <c r="I45" s="103">
        <f>'Fe Sheet'!J45</f>
        <v>-0.41077635319290984</v>
      </c>
      <c r="J45" s="102">
        <f>'Fe Sheet'!I45</f>
        <v>-0.5</v>
      </c>
      <c r="K45"/>
      <c r="L45" s="21"/>
      <c r="M45" s="5">
        <f t="shared" si="27"/>
        <v>-7.4492186246796317</v>
      </c>
      <c r="N45" s="9">
        <f t="shared" si="9"/>
        <v>1.8107275282889543E-6</v>
      </c>
      <c r="O45" s="10">
        <f t="shared" si="10"/>
        <v>1.1508144917314102E-6</v>
      </c>
      <c r="P45" s="5">
        <f t="shared" si="29"/>
        <v>-7.6678072986361991</v>
      </c>
      <c r="Q45" s="9">
        <f t="shared" si="11"/>
        <v>1.0946226496660631E-6</v>
      </c>
      <c r="R45" s="10">
        <f t="shared" si="12"/>
        <v>7.3572056865716487E-7</v>
      </c>
      <c r="S45" s="5">
        <f t="shared" si="31"/>
        <v>-8.11</v>
      </c>
      <c r="T45" s="9">
        <f t="shared" si="13"/>
        <v>3.9543192491740474E-7</v>
      </c>
      <c r="U45" s="10">
        <f t="shared" si="14"/>
        <v>2.7860642369224294E-7</v>
      </c>
      <c r="V45" s="5">
        <f t="shared" si="34"/>
        <v>-8.4047951342425318</v>
      </c>
      <c r="W45" s="9">
        <f t="shared" si="15"/>
        <v>2.0057490473818194E-7</v>
      </c>
      <c r="X45" s="10">
        <f t="shared" si="16"/>
        <v>1.4398286248791507E-7</v>
      </c>
      <c r="Y45" s="5">
        <f t="shared" si="37"/>
        <v>-8.5521927013638006</v>
      </c>
      <c r="Z45" s="9">
        <f t="shared" si="17"/>
        <v>1.4284959962374864E-7</v>
      </c>
      <c r="AA45" s="10">
        <f t="shared" si="18"/>
        <v>1.0324816423784873E-7</v>
      </c>
      <c r="AB45" s="5">
        <f t="shared" si="40"/>
        <v>-8.8469878356063347</v>
      </c>
      <c r="AC45" s="9">
        <f t="shared" si="19"/>
        <v>7.245759138543346E-8</v>
      </c>
      <c r="AD45" s="10">
        <f t="shared" si="20"/>
        <v>5.2903013017373686E-8</v>
      </c>
      <c r="AE45" s="5">
        <f t="shared" si="43"/>
        <v>-9.4315627506407349</v>
      </c>
      <c r="AF45" s="9">
        <f t="shared" si="21"/>
        <v>1.8858579556072291E-8</v>
      </c>
      <c r="AG45" s="10">
        <f t="shared" si="22"/>
        <v>1.3956262316827943E-8</v>
      </c>
      <c r="AH45" s="5">
        <f t="shared" si="46"/>
        <v>-9.9315627506407349</v>
      </c>
      <c r="AI45" s="9">
        <f t="shared" si="23"/>
        <v>5.9636064832675598E-9</v>
      </c>
      <c r="AJ45" s="10">
        <f t="shared" si="24"/>
        <v>4.433771291343239E-9</v>
      </c>
    </row>
    <row r="46" spans="2:36">
      <c r="B46" s="50" t="s">
        <v>17</v>
      </c>
      <c r="C46" s="55">
        <v>24</v>
      </c>
      <c r="D46" s="53">
        <v>51.996099999999998</v>
      </c>
      <c r="E46" s="277">
        <f>'Fe Sheet'!E46</f>
        <v>-6.38</v>
      </c>
      <c r="F46" s="57">
        <f t="shared" si="7"/>
        <v>2.1675582149861881E-5</v>
      </c>
      <c r="G46" s="57">
        <f t="shared" si="8"/>
        <v>1.5271799057678233E-5</v>
      </c>
      <c r="H46" s="142">
        <f t="shared" si="49"/>
        <v>-0.32156275064073481</v>
      </c>
      <c r="I46" s="103">
        <f>'Fe Sheet'!J46</f>
        <v>-0.41077635319290984</v>
      </c>
      <c r="J46" s="102">
        <f>'Fe Sheet'!I46</f>
        <v>-0.5</v>
      </c>
      <c r="K46"/>
      <c r="L46" s="21"/>
      <c r="M46" s="5">
        <f t="shared" si="27"/>
        <v>-5.7192186246796322</v>
      </c>
      <c r="N46" s="9">
        <f t="shared" si="9"/>
        <v>9.9254943309500467E-5</v>
      </c>
      <c r="O46" s="10">
        <f t="shared" si="10"/>
        <v>6.3081841608985005E-5</v>
      </c>
      <c r="P46" s="5">
        <f t="shared" si="29"/>
        <v>-5.9378072986361996</v>
      </c>
      <c r="Q46" s="9">
        <f t="shared" si="11"/>
        <v>6.0001688459757123E-5</v>
      </c>
      <c r="R46" s="10">
        <f t="shared" si="12"/>
        <v>4.0328487965665363E-5</v>
      </c>
      <c r="S46" s="5">
        <f t="shared" si="31"/>
        <v>-6.38</v>
      </c>
      <c r="T46" s="9">
        <f t="shared" si="13"/>
        <v>2.1675582149861881E-5</v>
      </c>
      <c r="U46" s="10">
        <f t="shared" si="14"/>
        <v>1.5271797858713142E-5</v>
      </c>
      <c r="V46" s="5">
        <f t="shared" si="34"/>
        <v>-6.674795134242534</v>
      </c>
      <c r="W46" s="9">
        <f t="shared" si="15"/>
        <v>1.0994503859953276E-5</v>
      </c>
      <c r="X46" s="10">
        <f t="shared" si="16"/>
        <v>7.8924137566306232E-6</v>
      </c>
      <c r="Y46" s="5">
        <f t="shared" si="37"/>
        <v>-6.8221927013638002</v>
      </c>
      <c r="Z46" s="9">
        <f t="shared" si="17"/>
        <v>7.8302940066515707E-6</v>
      </c>
      <c r="AA46" s="10">
        <f t="shared" si="18"/>
        <v>5.659543210193201E-6</v>
      </c>
      <c r="AB46" s="5">
        <f t="shared" si="40"/>
        <v>-7.1169878356063343</v>
      </c>
      <c r="AC46" s="9">
        <f t="shared" si="19"/>
        <v>3.9717594242906382E-6</v>
      </c>
      <c r="AD46" s="10">
        <f t="shared" si="20"/>
        <v>2.8998761414441029E-6</v>
      </c>
      <c r="AE46" s="5">
        <f t="shared" si="43"/>
        <v>-7.7015627506407345</v>
      </c>
      <c r="AF46" s="9">
        <f t="shared" si="21"/>
        <v>1.0337321410827739E-6</v>
      </c>
      <c r="AG46" s="10">
        <f t="shared" si="22"/>
        <v>7.6501185486379901E-7</v>
      </c>
      <c r="AH46" s="5">
        <f t="shared" si="46"/>
        <v>-8.2015627506407345</v>
      </c>
      <c r="AI46" s="9">
        <f t="shared" si="23"/>
        <v>3.2689480563440872E-7</v>
      </c>
      <c r="AJ46" s="10">
        <f t="shared" si="24"/>
        <v>2.4303696237799573E-7</v>
      </c>
    </row>
    <row r="47" spans="2:36">
      <c r="B47" s="50" t="s">
        <v>18</v>
      </c>
      <c r="C47" s="55">
        <v>25</v>
      </c>
      <c r="D47" s="53">
        <v>54.938049999999997</v>
      </c>
      <c r="E47" s="277">
        <f>'Fe Sheet'!E47</f>
        <v>-6.58</v>
      </c>
      <c r="F47" s="57">
        <f t="shared" si="7"/>
        <v>1.4450179445214791E-5</v>
      </c>
      <c r="G47" s="57">
        <f t="shared" si="8"/>
        <v>1.018105236154494E-5</v>
      </c>
      <c r="H47" s="142">
        <f t="shared" si="49"/>
        <v>-0.32156275064073481</v>
      </c>
      <c r="I47" s="103">
        <f>'Fe Sheet'!J47</f>
        <v>-0.41077635319290984</v>
      </c>
      <c r="J47" s="102">
        <f>'Fe Sheet'!I47</f>
        <v>-0.5</v>
      </c>
      <c r="K47"/>
      <c r="L47" s="21"/>
      <c r="M47" s="5">
        <f t="shared" si="27"/>
        <v>-5.9192186246796323</v>
      </c>
      <c r="N47" s="9">
        <f t="shared" si="9"/>
        <v>6.6169006752883906E-5</v>
      </c>
      <c r="O47" s="10">
        <f t="shared" si="10"/>
        <v>4.205395383072824E-5</v>
      </c>
      <c r="P47" s="5">
        <f t="shared" si="29"/>
        <v>-6.1378072986361998</v>
      </c>
      <c r="Q47" s="9">
        <f t="shared" si="11"/>
        <v>4.0000548048251105E-5</v>
      </c>
      <c r="R47" s="10">
        <f t="shared" si="12"/>
        <v>2.6885270431445518E-5</v>
      </c>
      <c r="S47" s="5">
        <f t="shared" si="31"/>
        <v>-6.58</v>
      </c>
      <c r="T47" s="9">
        <f t="shared" si="13"/>
        <v>1.4450179445214791E-5</v>
      </c>
      <c r="U47" s="10">
        <f t="shared" si="14"/>
        <v>1.0181051562246421E-5</v>
      </c>
      <c r="V47" s="5">
        <f t="shared" si="34"/>
        <v>-6.8747951342425342</v>
      </c>
      <c r="W47" s="9">
        <f t="shared" si="15"/>
        <v>7.3295634040649699E-6</v>
      </c>
      <c r="X47" s="10">
        <f t="shared" si="16"/>
        <v>5.2615331966952981E-6</v>
      </c>
      <c r="Y47" s="5">
        <f t="shared" si="37"/>
        <v>-7.0221927013638004</v>
      </c>
      <c r="Z47" s="9">
        <f t="shared" si="17"/>
        <v>5.2201206280231741E-6</v>
      </c>
      <c r="AA47" s="10">
        <f t="shared" si="18"/>
        <v>3.7729743265861819E-6</v>
      </c>
      <c r="AB47" s="5">
        <f t="shared" si="40"/>
        <v>-7.3169878356063345</v>
      </c>
      <c r="AC47" s="9">
        <f t="shared" si="19"/>
        <v>2.6478013830225234E-6</v>
      </c>
      <c r="AD47" s="10">
        <f t="shared" si="20"/>
        <v>1.9332228460139092E-6</v>
      </c>
      <c r="AE47" s="5">
        <f t="shared" si="43"/>
        <v>-7.9015627506407347</v>
      </c>
      <c r="AF47" s="9">
        <f t="shared" si="21"/>
        <v>6.8914480975208269E-7</v>
      </c>
      <c r="AG47" s="10">
        <f t="shared" si="22"/>
        <v>5.1000053904291433E-7</v>
      </c>
      <c r="AH47" s="5">
        <f t="shared" si="46"/>
        <v>-8.4015627506407355</v>
      </c>
      <c r="AI47" s="9">
        <f t="shared" si="23"/>
        <v>2.1792672364999939E-7</v>
      </c>
      <c r="AJ47" s="10">
        <f t="shared" si="24"/>
        <v>1.6202230204942051E-7</v>
      </c>
    </row>
    <row r="48" spans="2:36">
      <c r="B48" s="141" t="s">
        <v>19</v>
      </c>
      <c r="C48" s="29">
        <v>26</v>
      </c>
      <c r="D48" s="233">
        <v>55.844999999999999</v>
      </c>
      <c r="E48" s="277">
        <f>'Fe Sheet'!E48</f>
        <v>-4.4800000000000004</v>
      </c>
      <c r="F48" s="196">
        <f t="shared" si="7"/>
        <v>1.8492017479195268E-3</v>
      </c>
      <c r="G48" s="120">
        <f t="shared" si="8"/>
        <v>1.302877925773003E-3</v>
      </c>
      <c r="H48" s="142">
        <f t="shared" si="49"/>
        <v>-0.32156275064073481</v>
      </c>
      <c r="I48" s="103">
        <f>'Fe Sheet'!J48</f>
        <v>-0.41077635319290984</v>
      </c>
      <c r="J48" s="102">
        <f>'Fe Sheet'!I48</f>
        <v>-0.5</v>
      </c>
      <c r="K48"/>
      <c r="L48" s="21"/>
      <c r="M48" s="5">
        <f t="shared" si="27"/>
        <v>-3.8192186246796327</v>
      </c>
      <c r="N48" s="9">
        <f t="shared" si="9"/>
        <v>8.4677040454367389E-3</v>
      </c>
      <c r="O48" s="10">
        <f t="shared" si="10"/>
        <v>5.3816802224184376E-3</v>
      </c>
      <c r="P48" s="5">
        <f t="shared" si="29"/>
        <v>-4.0378072986362001</v>
      </c>
      <c r="Q48" s="9">
        <f t="shared" si="11"/>
        <v>5.1189041388036175E-3</v>
      </c>
      <c r="R48" s="10">
        <f t="shared" si="12"/>
        <v>3.4405309126857853E-3</v>
      </c>
      <c r="S48" s="5">
        <f t="shared" si="31"/>
        <v>-4.4800000000000004</v>
      </c>
      <c r="T48" s="9">
        <f t="shared" si="13"/>
        <v>1.8492017479195268E-3</v>
      </c>
      <c r="U48" s="10">
        <f t="shared" si="14"/>
        <v>1.3028778234860918E-3</v>
      </c>
      <c r="V48" s="5">
        <f t="shared" si="34"/>
        <v>-4.7747951342425345</v>
      </c>
      <c r="W48" s="9">
        <f t="shared" si="15"/>
        <v>9.3797045979054081E-4</v>
      </c>
      <c r="X48" s="10">
        <f t="shared" si="16"/>
        <v>6.7332287608978802E-4</v>
      </c>
      <c r="Y48" s="5">
        <f t="shared" si="37"/>
        <v>-4.9221927013638007</v>
      </c>
      <c r="Z48" s="9">
        <f t="shared" si="17"/>
        <v>6.680232744713686E-4</v>
      </c>
      <c r="AA48" s="10">
        <f t="shared" si="18"/>
        <v>4.8283073203558906E-4</v>
      </c>
      <c r="AB48" s="5">
        <f t="shared" si="40"/>
        <v>-5.2169878356063348</v>
      </c>
      <c r="AC48" s="9">
        <f t="shared" si="19"/>
        <v>3.3884139392126496E-4</v>
      </c>
      <c r="AD48" s="10">
        <f t="shared" si="20"/>
        <v>2.4739617106628569E-4</v>
      </c>
      <c r="AE48" s="5">
        <f t="shared" si="43"/>
        <v>-5.801562750640735</v>
      </c>
      <c r="AF48" s="9">
        <f t="shared" si="21"/>
        <v>8.819044715636583E-5</v>
      </c>
      <c r="AG48" s="10">
        <f t="shared" si="22"/>
        <v>6.5265202540468385E-5</v>
      </c>
      <c r="AH48" s="5">
        <f t="shared" si="46"/>
        <v>-6.301562750640735</v>
      </c>
      <c r="AI48" s="9">
        <f t="shared" si="23"/>
        <v>2.7888268088283599E-5</v>
      </c>
      <c r="AJ48" s="10">
        <f t="shared" si="24"/>
        <v>2.0734131730865916E-5</v>
      </c>
    </row>
    <row r="49" spans="2:36">
      <c r="B49" s="50" t="s">
        <v>20</v>
      </c>
      <c r="C49" s="55">
        <v>27</v>
      </c>
      <c r="D49" s="53">
        <v>58.933199999999999</v>
      </c>
      <c r="E49" s="277">
        <f>'Fe Sheet'!E49</f>
        <v>-7.07</v>
      </c>
      <c r="F49" s="57">
        <f t="shared" si="7"/>
        <v>5.016028823298812E-6</v>
      </c>
      <c r="G49" s="57">
        <f t="shared" si="8"/>
        <v>3.5341050462826804E-6</v>
      </c>
      <c r="H49" s="142">
        <f t="shared" si="49"/>
        <v>-0.32156275064073481</v>
      </c>
      <c r="I49" s="103">
        <f>'Fe Sheet'!J49</f>
        <v>-0.41077635319290984</v>
      </c>
      <c r="J49" s="102">
        <f>'Fe Sheet'!I49</f>
        <v>-0.5</v>
      </c>
      <c r="K49"/>
      <c r="L49" s="21"/>
      <c r="M49" s="5">
        <f t="shared" si="27"/>
        <v>-6.4092186246796325</v>
      </c>
      <c r="N49" s="9">
        <f t="shared" si="9"/>
        <v>2.296896355784923E-5</v>
      </c>
      <c r="O49" s="10">
        <f t="shared" si="10"/>
        <v>1.4598008650921327E-5</v>
      </c>
      <c r="P49" s="5">
        <f t="shared" si="29"/>
        <v>-6.6278072986362</v>
      </c>
      <c r="Q49" s="9">
        <f t="shared" si="11"/>
        <v>1.388521870738571E-5</v>
      </c>
      <c r="R49" s="10">
        <f t="shared" si="12"/>
        <v>9.3325686312478618E-6</v>
      </c>
      <c r="S49" s="5">
        <f t="shared" si="31"/>
        <v>-7.07</v>
      </c>
      <c r="T49" s="9">
        <f t="shared" si="13"/>
        <v>5.016028823298812E-6</v>
      </c>
      <c r="U49" s="10">
        <f t="shared" si="14"/>
        <v>3.5341047688256129E-6</v>
      </c>
      <c r="V49" s="5">
        <f t="shared" si="34"/>
        <v>-7.3647951342425344</v>
      </c>
      <c r="W49" s="9">
        <f t="shared" si="15"/>
        <v>2.5442799126734034E-6</v>
      </c>
      <c r="X49" s="10">
        <f t="shared" si="16"/>
        <v>1.8264134552396135E-6</v>
      </c>
      <c r="Y49" s="5">
        <f t="shared" si="37"/>
        <v>-7.5121927013638006</v>
      </c>
      <c r="Z49" s="9">
        <f t="shared" si="17"/>
        <v>1.812038087868314E-6</v>
      </c>
      <c r="AA49" s="10">
        <f t="shared" si="18"/>
        <v>1.3096963981295018E-6</v>
      </c>
      <c r="AB49" s="5">
        <f t="shared" si="40"/>
        <v>-7.8069878356063347</v>
      </c>
      <c r="AC49" s="9">
        <f t="shared" si="19"/>
        <v>9.191199393727678E-7</v>
      </c>
      <c r="AD49" s="10">
        <f t="shared" si="20"/>
        <v>6.7107135618836529E-7</v>
      </c>
      <c r="AE49" s="5">
        <f t="shared" si="43"/>
        <v>-8.391562750640734</v>
      </c>
      <c r="AF49" s="9">
        <f t="shared" si="21"/>
        <v>2.3921988251072909E-7</v>
      </c>
      <c r="AG49" s="10">
        <f t="shared" si="22"/>
        <v>1.7703430005392386E-7</v>
      </c>
      <c r="AH49" s="5">
        <f t="shared" si="46"/>
        <v>-8.8915627506407358</v>
      </c>
      <c r="AI49" s="9">
        <f t="shared" si="23"/>
        <v>7.5647969033177854E-8</v>
      </c>
      <c r="AJ49" s="10">
        <f t="shared" si="24"/>
        <v>5.6242106901049557E-8</v>
      </c>
    </row>
    <row r="50" spans="2:36">
      <c r="B50" s="50" t="s">
        <v>21</v>
      </c>
      <c r="C50" s="55">
        <v>28</v>
      </c>
      <c r="D50" s="53">
        <v>58.693399999999997</v>
      </c>
      <c r="E50" s="277">
        <f>'Fe Sheet'!E50</f>
        <v>-5.8</v>
      </c>
      <c r="F50" s="57">
        <f t="shared" si="7"/>
        <v>9.3022770102396977E-5</v>
      </c>
      <c r="G50" s="57">
        <f t="shared" si="8"/>
        <v>6.554034133756623E-5</v>
      </c>
      <c r="H50" s="142">
        <f t="shared" si="49"/>
        <v>-0.32156275064073481</v>
      </c>
      <c r="I50" s="103">
        <f>'Fe Sheet'!J50</f>
        <v>-0.41077635319290984</v>
      </c>
      <c r="J50" s="102">
        <f>'Fe Sheet'!I50</f>
        <v>-0.5</v>
      </c>
      <c r="K50"/>
      <c r="L50" s="21"/>
      <c r="M50" s="5">
        <f t="shared" si="27"/>
        <v>-5.1392186246796321</v>
      </c>
      <c r="N50" s="9">
        <f t="shared" si="9"/>
        <v>4.2596179005346534E-4</v>
      </c>
      <c r="O50" s="10">
        <f t="shared" si="10"/>
        <v>2.7072157089288713E-4</v>
      </c>
      <c r="P50" s="5">
        <f t="shared" si="29"/>
        <v>-5.3578072986361995</v>
      </c>
      <c r="Q50" s="9">
        <f t="shared" si="11"/>
        <v>2.5750280812564935E-4</v>
      </c>
      <c r="R50" s="10">
        <f t="shared" si="12"/>
        <v>1.7307344451790321E-4</v>
      </c>
      <c r="S50" s="5">
        <f t="shared" si="31"/>
        <v>-5.8</v>
      </c>
      <c r="T50" s="9">
        <f t="shared" si="13"/>
        <v>9.3022770102396977E-5</v>
      </c>
      <c r="U50" s="10">
        <f t="shared" si="14"/>
        <v>6.5540336192096391E-5</v>
      </c>
      <c r="V50" s="5">
        <f t="shared" si="34"/>
        <v>-6.0947951342425339</v>
      </c>
      <c r="W50" s="9">
        <f t="shared" si="15"/>
        <v>4.7183932495251052E-5</v>
      </c>
      <c r="X50" s="10">
        <f t="shared" si="16"/>
        <v>3.3871025255980278E-5</v>
      </c>
      <c r="Y50" s="5">
        <f t="shared" si="37"/>
        <v>-6.2421927013638001</v>
      </c>
      <c r="Z50" s="9">
        <f t="shared" si="17"/>
        <v>3.3604432590502182E-5</v>
      </c>
      <c r="AA50" s="10">
        <f t="shared" si="18"/>
        <v>2.428845432092529E-5</v>
      </c>
      <c r="AB50" s="5">
        <f t="shared" si="40"/>
        <v>-6.5369878356063342</v>
      </c>
      <c r="AC50" s="9">
        <f t="shared" si="19"/>
        <v>1.7045173747740391E-5</v>
      </c>
      <c r="AD50" s="10">
        <f t="shared" si="20"/>
        <v>1.2445087276823115E-5</v>
      </c>
      <c r="AE50" s="5">
        <f t="shared" si="43"/>
        <v>-7.1215627506407344</v>
      </c>
      <c r="AF50" s="9">
        <f t="shared" si="21"/>
        <v>4.4363573094628235E-6</v>
      </c>
      <c r="AG50" s="10">
        <f t="shared" si="22"/>
        <v>3.283119291033992E-6</v>
      </c>
      <c r="AH50" s="5">
        <f t="shared" si="46"/>
        <v>-7.6215627506407344</v>
      </c>
      <c r="AI50" s="9">
        <f t="shared" si="23"/>
        <v>1.4028993612239001E-6</v>
      </c>
      <c r="AJ50" s="10">
        <f t="shared" si="24"/>
        <v>1.0430156533450845E-6</v>
      </c>
    </row>
    <row r="51" spans="2:36">
      <c r="B51" s="50" t="s">
        <v>22</v>
      </c>
      <c r="C51" s="55">
        <v>29</v>
      </c>
      <c r="D51" s="53">
        <v>63.545999999999999</v>
      </c>
      <c r="E51" s="277">
        <f>'Fe Sheet'!E51</f>
        <v>-7.82</v>
      </c>
      <c r="F51" s="57">
        <f t="shared" si="7"/>
        <v>9.6180763093126951E-7</v>
      </c>
      <c r="G51" s="57">
        <f t="shared" si="8"/>
        <v>6.7765344294651366E-7</v>
      </c>
      <c r="H51" s="142">
        <f t="shared" si="49"/>
        <v>-0.32156275064073481</v>
      </c>
      <c r="I51" s="103">
        <f>'Fe Sheet'!J51</f>
        <v>-0.41077635319290984</v>
      </c>
      <c r="J51" s="102">
        <f>'Fe Sheet'!I51</f>
        <v>-0.5</v>
      </c>
      <c r="K51"/>
      <c r="L51" s="21"/>
      <c r="M51" s="5">
        <f t="shared" si="27"/>
        <v>-7.1592186246796325</v>
      </c>
      <c r="N51" s="9">
        <f t="shared" si="9"/>
        <v>4.4042259729267098E-6</v>
      </c>
      <c r="O51" s="10">
        <f t="shared" si="10"/>
        <v>2.7991218973145856E-6</v>
      </c>
      <c r="P51" s="5">
        <f t="shared" si="29"/>
        <v>-7.3778072986362</v>
      </c>
      <c r="Q51" s="9">
        <f t="shared" si="11"/>
        <v>2.6624466844929902E-6</v>
      </c>
      <c r="R51" s="10">
        <f t="shared" si="12"/>
        <v>1.7894904598695661E-6</v>
      </c>
      <c r="S51" s="5">
        <f t="shared" si="31"/>
        <v>-7.82</v>
      </c>
      <c r="T51" s="9">
        <f t="shared" si="13"/>
        <v>9.6180763093126951E-7</v>
      </c>
      <c r="U51" s="10">
        <f t="shared" si="14"/>
        <v>6.776533897450002E-7</v>
      </c>
      <c r="V51" s="5">
        <f t="shared" si="34"/>
        <v>-8.1147951342425344</v>
      </c>
      <c r="W51" s="9">
        <f t="shared" si="15"/>
        <v>4.8785761036059462E-7</v>
      </c>
      <c r="X51" s="10">
        <f t="shared" si="16"/>
        <v>3.5020899208663909E-7</v>
      </c>
      <c r="Y51" s="5">
        <f t="shared" si="37"/>
        <v>-8.2621927013638015</v>
      </c>
      <c r="Z51" s="9">
        <f t="shared" si="17"/>
        <v>3.4745256094913427E-7</v>
      </c>
      <c r="AA51" s="10">
        <f t="shared" si="18"/>
        <v>2.511301338766466E-7</v>
      </c>
      <c r="AB51" s="5">
        <f t="shared" si="40"/>
        <v>-8.5569878356063356</v>
      </c>
      <c r="AC51" s="9">
        <f t="shared" si="19"/>
        <v>1.7623833565781562E-7</v>
      </c>
      <c r="AD51" s="10">
        <f t="shared" si="20"/>
        <v>1.2867580590513603E-7</v>
      </c>
      <c r="AE51" s="5">
        <f t="shared" si="43"/>
        <v>-9.1415627506407358</v>
      </c>
      <c r="AF51" s="9">
        <f t="shared" si="21"/>
        <v>4.5869654376903042E-8</v>
      </c>
      <c r="AG51" s="10">
        <f t="shared" si="22"/>
        <v>3.394576600866873E-8</v>
      </c>
      <c r="AH51" s="5">
        <f t="shared" si="46"/>
        <v>-9.6415627506407358</v>
      </c>
      <c r="AI51" s="9">
        <f t="shared" si="23"/>
        <v>1.4505258331572486E-8</v>
      </c>
      <c r="AJ51" s="10">
        <f t="shared" si="24"/>
        <v>1.0784245765459234E-8</v>
      </c>
    </row>
    <row r="52" spans="2:36" ht="16" thickBot="1">
      <c r="B52" s="51" t="s">
        <v>23</v>
      </c>
      <c r="C52" s="56">
        <v>30</v>
      </c>
      <c r="D52" s="54">
        <v>65.38</v>
      </c>
      <c r="E52" s="278">
        <f>'Fe Sheet'!E52</f>
        <v>-7.44</v>
      </c>
      <c r="F52" s="57">
        <f t="shared" si="7"/>
        <v>2.3738043220869143E-6</v>
      </c>
      <c r="G52" s="57">
        <f t="shared" si="8"/>
        <v>1.6724931472897239E-6</v>
      </c>
      <c r="H52" s="142">
        <f t="shared" si="49"/>
        <v>-0.1215627506407348</v>
      </c>
      <c r="I52" s="103">
        <f>'Fe Sheet'!J52</f>
        <v>-0.21077635319290983</v>
      </c>
      <c r="J52" s="102">
        <f>'Fe Sheet'!I52</f>
        <v>-0.3</v>
      </c>
      <c r="K52"/>
      <c r="L52" s="21"/>
      <c r="M52" s="5">
        <f t="shared" si="27"/>
        <v>-6.8792186246796332</v>
      </c>
      <c r="N52" s="9">
        <f t="shared" si="9"/>
        <v>8.6342832472702132E-6</v>
      </c>
      <c r="O52" s="10">
        <f t="shared" si="10"/>
        <v>5.4875502423391938E-6</v>
      </c>
      <c r="P52" s="5">
        <f t="shared" si="29"/>
        <v>-7.08624583890896</v>
      </c>
      <c r="Q52" s="9">
        <f t="shared" si="11"/>
        <v>5.3604231898564135E-6</v>
      </c>
      <c r="R52" s="10">
        <f t="shared" si="12"/>
        <v>3.6028613136109899E-6</v>
      </c>
      <c r="S52" s="5">
        <f t="shared" si="31"/>
        <v>-7.44</v>
      </c>
      <c r="T52" s="9">
        <f t="shared" si="13"/>
        <v>2.3738043220869143E-6</v>
      </c>
      <c r="U52" s="10">
        <f t="shared" si="14"/>
        <v>1.672493015984899E-6</v>
      </c>
      <c r="V52" s="5">
        <f t="shared" si="34"/>
        <v>-7.6758361073940273</v>
      </c>
      <c r="W52" s="9">
        <f t="shared" si="15"/>
        <v>1.3791414420415352E-6</v>
      </c>
      <c r="X52" s="10">
        <f t="shared" si="16"/>
        <v>9.9001783328804673E-7</v>
      </c>
      <c r="Y52" s="5">
        <f t="shared" si="37"/>
        <v>-7.7937541610910408</v>
      </c>
      <c r="Z52" s="9">
        <f t="shared" si="17"/>
        <v>1.0512130777699799E-6</v>
      </c>
      <c r="AA52" s="10">
        <f t="shared" si="18"/>
        <v>7.5979086247663053E-7</v>
      </c>
      <c r="AB52" s="5">
        <f t="shared" si="40"/>
        <v>-8.0295902684850677</v>
      </c>
      <c r="AC52" s="9">
        <f t="shared" si="19"/>
        <v>6.1073758543587469E-7</v>
      </c>
      <c r="AD52" s="10">
        <f>AC52/(SUM(AC$23:AC$52))</f>
        <v>4.459140555838139E-7</v>
      </c>
      <c r="AE52" s="5">
        <f t="shared" si="43"/>
        <v>-8.5615627506407357</v>
      </c>
      <c r="AF52" s="9">
        <f t="shared" si="21"/>
        <v>1.7942467390753851E-7</v>
      </c>
      <c r="AG52" s="10">
        <f t="shared" si="22"/>
        <v>1.3278294941140595E-7</v>
      </c>
      <c r="AH52" s="5">
        <f t="shared" si="46"/>
        <v>-9.0615627506407357</v>
      </c>
      <c r="AI52" s="9">
        <f t="shared" si="23"/>
        <v>5.6739063798080597E-8</v>
      </c>
      <c r="AJ52" s="10">
        <f t="shared" si="24"/>
        <v>4.2183875289468109E-8</v>
      </c>
    </row>
    <row r="53" spans="2:36" ht="19" thickBot="1">
      <c r="C53" s="21"/>
      <c r="D53" s="21"/>
      <c r="F53" s="157" t="s">
        <v>58</v>
      </c>
      <c r="G53" s="158">
        <f>G19</f>
        <v>1.4254452236841769E-2</v>
      </c>
      <c r="H53" s="159">
        <v>0</v>
      </c>
      <c r="I53" s="159">
        <f>H53-$H$30</f>
        <v>-8.9213602552175031E-2</v>
      </c>
      <c r="J53" s="160">
        <f>H53-H48</f>
        <v>0.32156275064073481</v>
      </c>
      <c r="K53"/>
      <c r="M53" s="2"/>
      <c r="N53" s="3" t="s">
        <v>47</v>
      </c>
      <c r="O53" s="4">
        <f>O23</f>
        <v>0.64059994707864942</v>
      </c>
      <c r="P53" s="2"/>
      <c r="Q53" s="3" t="s">
        <v>47</v>
      </c>
      <c r="R53" s="4">
        <f>R23</f>
        <v>0.67745920495846812</v>
      </c>
      <c r="S53" s="2"/>
      <c r="T53" s="3" t="s">
        <v>47</v>
      </c>
      <c r="U53" s="4">
        <f>U23</f>
        <v>0.71015651747140784</v>
      </c>
      <c r="V53" s="2"/>
      <c r="W53" s="3" t="s">
        <v>47</v>
      </c>
      <c r="X53" s="4">
        <f>X23</f>
        <v>0.72355056882867641</v>
      </c>
      <c r="Y53" s="2"/>
      <c r="Z53" s="3" t="s">
        <v>47</v>
      </c>
      <c r="AA53" s="4">
        <f>AA23</f>
        <v>0.728514150099137</v>
      </c>
      <c r="AB53" s="2"/>
      <c r="AC53" s="3" t="s">
        <v>47</v>
      </c>
      <c r="AD53" s="4">
        <f>AD23</f>
        <v>0.73592099766445529</v>
      </c>
      <c r="AE53" s="2"/>
      <c r="AF53" s="3" t="s">
        <v>47</v>
      </c>
      <c r="AG53" s="4">
        <f>AG23</f>
        <v>0.74592442117911717</v>
      </c>
      <c r="AH53" s="2"/>
      <c r="AI53" s="3" t="s">
        <v>47</v>
      </c>
      <c r="AJ53" s="4">
        <f>AJ23</f>
        <v>0.74937463562281825</v>
      </c>
    </row>
    <row r="54" spans="2:36" ht="18">
      <c r="M54" s="5"/>
      <c r="N54" s="6" t="s">
        <v>48</v>
      </c>
      <c r="O54" s="7">
        <f>O24</f>
        <v>0.31565336348132467</v>
      </c>
      <c r="P54" s="5"/>
      <c r="Q54" s="6" t="s">
        <v>48</v>
      </c>
      <c r="R54" s="7">
        <f>R24</f>
        <v>0.29434875474125471</v>
      </c>
      <c r="S54" s="5"/>
      <c r="T54" s="6" t="s">
        <v>48</v>
      </c>
      <c r="U54" s="7">
        <f>U24</f>
        <v>0.27558895290240742</v>
      </c>
      <c r="V54" s="5"/>
      <c r="W54" s="6" t="s">
        <v>48</v>
      </c>
      <c r="X54" s="7">
        <f>X24</f>
        <v>0.26731676137103055</v>
      </c>
      <c r="Y54" s="5"/>
      <c r="Z54" s="6" t="s">
        <v>48</v>
      </c>
      <c r="AA54" s="7">
        <f>AA24</f>
        <v>0.26415178532665662</v>
      </c>
      <c r="AB54" s="5"/>
      <c r="AC54" s="6" t="s">
        <v>48</v>
      </c>
      <c r="AD54" s="7">
        <f>AD24</f>
        <v>0.2593181002322768</v>
      </c>
      <c r="AE54" s="5"/>
      <c r="AF54" s="6" t="s">
        <v>48</v>
      </c>
      <c r="AG54" s="7">
        <f>AG24</f>
        <v>0.25251775817215988</v>
      </c>
      <c r="AH54" s="5"/>
      <c r="AI54" s="6" t="s">
        <v>48</v>
      </c>
      <c r="AJ54" s="7">
        <f>AJ24</f>
        <v>0.25013218287758343</v>
      </c>
    </row>
    <row r="55" spans="2:36" ht="18">
      <c r="M55" s="14"/>
      <c r="N55" s="95" t="s">
        <v>1</v>
      </c>
      <c r="O55" s="96">
        <f>SUM(O25:O52)</f>
        <v>4.3746689440026076E-2</v>
      </c>
      <c r="P55" s="22"/>
      <c r="Q55" s="95" t="s">
        <v>1</v>
      </c>
      <c r="R55" s="96">
        <f>SUM(R25:R52)</f>
        <v>2.8192040300277318E-2</v>
      </c>
      <c r="S55" s="14"/>
      <c r="T55" s="95" t="s">
        <v>1</v>
      </c>
      <c r="U55" s="96">
        <f>SUM(U25:U52)</f>
        <v>1.4254529626185073E-2</v>
      </c>
      <c r="V55" s="14"/>
      <c r="W55" s="95" t="s">
        <v>1</v>
      </c>
      <c r="X55" s="96">
        <f>SUM(X25:X52)</f>
        <v>9.1326698002936295E-3</v>
      </c>
      <c r="Y55" s="14"/>
      <c r="Z55" s="95" t="s">
        <v>1</v>
      </c>
      <c r="AA55" s="96">
        <f>SUM(AA25:AA52)</f>
        <v>7.3340645742061995E-3</v>
      </c>
      <c r="AB55" s="14"/>
      <c r="AC55" s="95" t="s">
        <v>1</v>
      </c>
      <c r="AD55" s="96">
        <f>SUM(AD25:AD52)</f>
        <v>4.7609021032679602E-3</v>
      </c>
      <c r="AE55" s="14"/>
      <c r="AF55" s="95" t="s">
        <v>1</v>
      </c>
      <c r="AG55" s="96">
        <f>SUM(AG25:AG52)</f>
        <v>1.5578206487235316E-3</v>
      </c>
      <c r="AH55" s="14"/>
      <c r="AI55" s="95" t="s">
        <v>1</v>
      </c>
      <c r="AJ55" s="96">
        <f>SUM(AJ25:AJ52)</f>
        <v>4.9318149959869356E-4</v>
      </c>
    </row>
    <row r="56" spans="2:36">
      <c r="E56" s="20"/>
      <c r="M56" s="8"/>
      <c r="AI56" s="20"/>
    </row>
    <row r="57" spans="2:36">
      <c r="E57" s="20"/>
      <c r="M57" s="8"/>
      <c r="AI57" s="20"/>
    </row>
    <row r="58" spans="2:36">
      <c r="E58" s="20"/>
      <c r="M58" s="8"/>
      <c r="AI58" s="20"/>
    </row>
    <row r="59" spans="2:36">
      <c r="B59"/>
      <c r="C59"/>
      <c r="E59" s="20"/>
      <c r="M59" s="8"/>
      <c r="AI59" s="20"/>
    </row>
    <row r="60" spans="2:36">
      <c r="B60"/>
      <c r="C60"/>
      <c r="E60" s="20"/>
      <c r="M60" s="8"/>
      <c r="AI60" s="20"/>
    </row>
    <row r="61" spans="2:36">
      <c r="B61"/>
      <c r="C61"/>
      <c r="G61" s="32"/>
      <c r="H61" s="32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</row>
    <row r="62" spans="2:36">
      <c r="B62"/>
      <c r="C62"/>
      <c r="M62" s="8"/>
      <c r="AI62" s="20"/>
    </row>
    <row r="63" spans="2:36">
      <c r="B63"/>
      <c r="C63"/>
      <c r="M63" s="8"/>
      <c r="AI63" s="20"/>
    </row>
    <row r="64" spans="2:36">
      <c r="B64"/>
      <c r="C64"/>
      <c r="M64" s="8"/>
      <c r="AI64" s="20"/>
    </row>
    <row r="65" spans="2:3">
      <c r="B65"/>
      <c r="C65"/>
    </row>
    <row r="66" spans="2:3">
      <c r="B66"/>
      <c r="C66"/>
    </row>
    <row r="67" spans="2:3">
      <c r="B67" s="143"/>
      <c r="C67" s="32"/>
    </row>
    <row r="68" spans="2:3">
      <c r="B68" s="143"/>
      <c r="C68" s="32"/>
    </row>
  </sheetData>
  <mergeCells count="2">
    <mergeCell ref="B5:C5"/>
    <mergeCell ref="D5:E5"/>
  </mergeCells>
  <pageMargins left="0.75" right="0.75" top="1" bottom="1" header="0.5" footer="0.5"/>
  <pageSetup paperSize="9" orientation="landscape" horizontalDpi="4294967292" verticalDpi="4294967292"/>
  <ignoredErrors>
    <ignoredError sqref="AH19 AE19 AB19 Y19 V19 S19 P19 D8:H14 D7:E7 G7:H7" formula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Fe Sheet</vt:lpstr>
      <vt:lpstr>O Sheet</vt:lpstr>
      <vt:lpstr>Z Sheet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Ralph Sutherland</dc:creator>
  <cp:lastModifiedBy>David Nicholls</cp:lastModifiedBy>
  <dcterms:created xsi:type="dcterms:W3CDTF">2015-07-29T02:49:52Z</dcterms:created>
  <dcterms:modified xsi:type="dcterms:W3CDTF">2016-11-01T23:35:36Z</dcterms:modified>
</cp:coreProperties>
</file>